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averas\Desktop\"/>
    </mc:Choice>
  </mc:AlternateContent>
  <bookViews>
    <workbookView xWindow="120" yWindow="75" windowWidth="15195" windowHeight="7425"/>
  </bookViews>
  <sheets>
    <sheet name="Cosolidado" sheetId="1" r:id="rId1"/>
    <sheet name="PRESUPUESTO 2014" sheetId="8" r:id="rId2"/>
    <sheet name="Direccion Form y Des Prof" sheetId="2" r:id="rId3"/>
    <sheet name="Administrativa" sheetId="3" r:id="rId4"/>
    <sheet name="Inicial y Hab. Doc." sheetId="4" r:id="rId5"/>
    <sheet name="Post-Grado" sheetId="5" r:id="rId6"/>
    <sheet name="Continua" sheetId="6" r:id="rId7"/>
    <sheet name="Investigación" sheetId="7" r:id="rId8"/>
  </sheets>
  <calcPr calcId="152511"/>
</workbook>
</file>

<file path=xl/calcChain.xml><?xml version="1.0" encoding="utf-8"?>
<calcChain xmlns="http://schemas.openxmlformats.org/spreadsheetml/2006/main">
  <c r="C16" i="8" l="1"/>
  <c r="D15" i="8"/>
  <c r="D14" i="8"/>
  <c r="D13" i="8"/>
  <c r="F12" i="8"/>
  <c r="D12" i="8"/>
  <c r="F11" i="8"/>
  <c r="D11" i="8"/>
  <c r="D16" i="8" l="1"/>
  <c r="F13" i="8"/>
  <c r="M208" i="2"/>
  <c r="M104" i="4"/>
  <c r="M29" i="7" l="1"/>
  <c r="M58" i="6"/>
  <c r="M39" i="5"/>
  <c r="X266" i="7"/>
  <c r="K25" i="7"/>
  <c r="L25" i="7" s="1"/>
  <c r="J25" i="7"/>
  <c r="M24" i="7"/>
  <c r="J24" i="7"/>
  <c r="M23" i="7"/>
  <c r="J23" i="7"/>
  <c r="L22" i="7"/>
  <c r="M22" i="7" s="1"/>
  <c r="K22" i="7"/>
  <c r="J22" i="7"/>
  <c r="K21" i="7"/>
  <c r="L21" i="7" s="1"/>
  <c r="M21" i="7" s="1"/>
  <c r="J21" i="7"/>
  <c r="K20" i="7"/>
  <c r="N20" i="7" s="1"/>
  <c r="J20" i="7"/>
  <c r="H19" i="7"/>
  <c r="K19" i="7" s="1"/>
  <c r="L19" i="7" s="1"/>
  <c r="M19" i="7" s="1"/>
  <c r="N19" i="7" s="1"/>
  <c r="H18" i="7"/>
  <c r="K18" i="7" s="1"/>
  <c r="J17" i="7"/>
  <c r="H17" i="7"/>
  <c r="K17" i="7" s="1"/>
  <c r="L17" i="7" s="1"/>
  <c r="M17" i="7" s="1"/>
  <c r="N17" i="7" s="1"/>
  <c r="K16" i="7"/>
  <c r="L16" i="7" s="1"/>
  <c r="M16" i="7" s="1"/>
  <c r="N16" i="7" s="1"/>
  <c r="J16" i="7"/>
  <c r="J11" i="7"/>
  <c r="Y111" i="7"/>
  <c r="X267" i="6"/>
  <c r="M55" i="6"/>
  <c r="J55" i="6"/>
  <c r="J54" i="6"/>
  <c r="K54" i="6" s="1"/>
  <c r="L54" i="6" s="1"/>
  <c r="M54" i="6" s="1"/>
  <c r="N54" i="6" s="1"/>
  <c r="L53" i="6"/>
  <c r="M53" i="6" s="1"/>
  <c r="N53" i="6" s="1"/>
  <c r="J53" i="6"/>
  <c r="M52" i="6"/>
  <c r="J52" i="6"/>
  <c r="L51" i="6"/>
  <c r="J51" i="6"/>
  <c r="L50" i="6"/>
  <c r="J50" i="6"/>
  <c r="K49" i="6"/>
  <c r="M49" i="6" s="1"/>
  <c r="J49" i="6"/>
  <c r="J45" i="6"/>
  <c r="L30" i="6"/>
  <c r="J30" i="6"/>
  <c r="H29" i="6"/>
  <c r="K29" i="6" s="1"/>
  <c r="H28" i="6"/>
  <c r="J28" i="6" s="1"/>
  <c r="J23" i="6"/>
  <c r="K17" i="6"/>
  <c r="L17" i="6" s="1"/>
  <c r="J17" i="6"/>
  <c r="L16" i="6"/>
  <c r="M16" i="6" s="1"/>
  <c r="N16" i="6" s="1"/>
  <c r="J16" i="6"/>
  <c r="K15" i="6"/>
  <c r="L15" i="6" s="1"/>
  <c r="M15" i="6" s="1"/>
  <c r="N15" i="6" s="1"/>
  <c r="J15" i="6"/>
  <c r="O10" i="6"/>
  <c r="J10" i="6"/>
  <c r="Y112" i="6"/>
  <c r="X162" i="5"/>
  <c r="J32" i="5"/>
  <c r="L32" i="5" s="1"/>
  <c r="M32" i="5" s="1"/>
  <c r="N32" i="5" s="1"/>
  <c r="J24" i="5"/>
  <c r="I17" i="5"/>
  <c r="K17" i="5" s="1"/>
  <c r="J16" i="5"/>
  <c r="K16" i="5" s="1"/>
  <c r="L16" i="5" s="1"/>
  <c r="M16" i="5" s="1"/>
  <c r="N16" i="5" s="1"/>
  <c r="J15" i="5"/>
  <c r="L15" i="5" s="1"/>
  <c r="M15" i="5" s="1"/>
  <c r="N15" i="5" s="1"/>
  <c r="J10" i="5"/>
  <c r="X259" i="4"/>
  <c r="N101" i="4"/>
  <c r="M101" i="4"/>
  <c r="J101" i="4"/>
  <c r="J96" i="4"/>
  <c r="K90" i="4"/>
  <c r="L90" i="4" s="1"/>
  <c r="M90" i="4" s="1"/>
  <c r="N90" i="4" s="1"/>
  <c r="J90" i="4"/>
  <c r="J89" i="4"/>
  <c r="M89" i="4" s="1"/>
  <c r="J84" i="4"/>
  <c r="L76" i="4"/>
  <c r="J76" i="4" s="1"/>
  <c r="L75" i="4"/>
  <c r="J75" i="4" s="1"/>
  <c r="L74" i="4"/>
  <c r="I73" i="4"/>
  <c r="L73" i="4" s="1"/>
  <c r="J73" i="4" s="1"/>
  <c r="L72" i="4"/>
  <c r="J72" i="4" s="1"/>
  <c r="K71" i="4"/>
  <c r="L71" i="4" s="1"/>
  <c r="K70" i="4"/>
  <c r="J70" i="4" s="1"/>
  <c r="I69" i="4"/>
  <c r="J69" i="4" s="1"/>
  <c r="M69" i="4" s="1"/>
  <c r="N69" i="4" s="1"/>
  <c r="I68" i="4"/>
  <c r="J68" i="4" s="1"/>
  <c r="J63" i="4"/>
  <c r="K55" i="4"/>
  <c r="J55" i="4"/>
  <c r="K54" i="4"/>
  <c r="J54" i="4"/>
  <c r="K53" i="4"/>
  <c r="J53" i="4"/>
  <c r="K52" i="4"/>
  <c r="N52" i="4" s="1"/>
  <c r="J52" i="4"/>
  <c r="K51" i="4"/>
  <c r="M51" i="4" s="1"/>
  <c r="J51" i="4"/>
  <c r="K50" i="4"/>
  <c r="N50" i="4" s="1"/>
  <c r="J50" i="4"/>
  <c r="H49" i="4"/>
  <c r="K49" i="4" s="1"/>
  <c r="K48" i="4"/>
  <c r="M48" i="4" s="1"/>
  <c r="J48" i="4"/>
  <c r="H47" i="4"/>
  <c r="K47" i="4" s="1"/>
  <c r="K46" i="4"/>
  <c r="L46" i="4" s="1"/>
  <c r="M46" i="4" s="1"/>
  <c r="N46" i="4" s="1"/>
  <c r="J46" i="4"/>
  <c r="K45" i="4"/>
  <c r="L45" i="4" s="1"/>
  <c r="M45" i="4" s="1"/>
  <c r="N45" i="4" s="1"/>
  <c r="J45" i="4"/>
  <c r="K44" i="4"/>
  <c r="H44" i="4"/>
  <c r="J44" i="4" s="1"/>
  <c r="H43" i="4"/>
  <c r="K43" i="4" s="1"/>
  <c r="H42" i="4"/>
  <c r="K42" i="4" s="1"/>
  <c r="J42" i="4" s="1"/>
  <c r="N37" i="4"/>
  <c r="M37" i="4"/>
  <c r="L37" i="4"/>
  <c r="K37" i="4"/>
  <c r="I37" i="4"/>
  <c r="J31" i="4"/>
  <c r="M31" i="4" s="1"/>
  <c r="N31" i="4" s="1"/>
  <c r="J30" i="4"/>
  <c r="N30" i="4" s="1"/>
  <c r="J29" i="4"/>
  <c r="M29" i="4" s="1"/>
  <c r="N19" i="4"/>
  <c r="M19" i="4"/>
  <c r="L19" i="4"/>
  <c r="K19" i="4"/>
  <c r="J18" i="4"/>
  <c r="K18" i="4" s="1"/>
  <c r="M17" i="4"/>
  <c r="L17" i="4"/>
  <c r="J17" i="4"/>
  <c r="J16" i="4"/>
  <c r="L16" i="4" s="1"/>
  <c r="J92" i="3"/>
  <c r="J91" i="3"/>
  <c r="J90" i="3"/>
  <c r="J89" i="3"/>
  <c r="I88" i="3"/>
  <c r="J87" i="3"/>
  <c r="I86" i="3"/>
  <c r="J85" i="3"/>
  <c r="J84" i="3"/>
  <c r="J83" i="3"/>
  <c r="J82" i="3"/>
  <c r="J81" i="3"/>
  <c r="J80" i="3"/>
  <c r="J79" i="3"/>
  <c r="K78" i="3"/>
  <c r="L78" i="3" s="1"/>
  <c r="J77" i="3"/>
  <c r="J76" i="3"/>
  <c r="J75" i="3"/>
  <c r="J74" i="3"/>
  <c r="J73" i="3"/>
  <c r="J72" i="3"/>
  <c r="J71" i="3"/>
  <c r="J70" i="3"/>
  <c r="J69" i="3"/>
  <c r="J68" i="3"/>
  <c r="X266" i="3"/>
  <c r="J67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H46" i="3"/>
  <c r="J46" i="3" s="1"/>
  <c r="K46" i="3" s="1"/>
  <c r="L46" i="3" s="1"/>
  <c r="M46" i="3" s="1"/>
  <c r="N46" i="3" s="1"/>
  <c r="J45" i="3"/>
  <c r="J44" i="3"/>
  <c r="J43" i="3"/>
  <c r="I42" i="3"/>
  <c r="J42" i="3" s="1"/>
  <c r="J41" i="3"/>
  <c r="J40" i="3"/>
  <c r="K40" i="3" s="1"/>
  <c r="L40" i="3" s="1"/>
  <c r="M40" i="3" s="1"/>
  <c r="N40" i="3" s="1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N12" i="3"/>
  <c r="M12" i="3"/>
  <c r="L12" i="3"/>
  <c r="K12" i="3"/>
  <c r="Y111" i="3"/>
  <c r="X266" i="2"/>
  <c r="K204" i="2"/>
  <c r="L204" i="2" s="1"/>
  <c r="J204" i="2"/>
  <c r="M203" i="2"/>
  <c r="J203" i="2"/>
  <c r="M202" i="2"/>
  <c r="J202" i="2"/>
  <c r="K201" i="2"/>
  <c r="L201" i="2" s="1"/>
  <c r="M201" i="2" s="1"/>
  <c r="J201" i="2"/>
  <c r="K200" i="2"/>
  <c r="L200" i="2" s="1"/>
  <c r="M200" i="2" s="1"/>
  <c r="J200" i="2"/>
  <c r="N199" i="2"/>
  <c r="K199" i="2"/>
  <c r="J199" i="2"/>
  <c r="H198" i="2"/>
  <c r="J198" i="2" s="1"/>
  <c r="H197" i="2"/>
  <c r="J197" i="2" s="1"/>
  <c r="H196" i="2"/>
  <c r="J196" i="2" s="1"/>
  <c r="K195" i="2"/>
  <c r="L195" i="2" s="1"/>
  <c r="M195" i="2" s="1"/>
  <c r="N195" i="2" s="1"/>
  <c r="J195" i="2"/>
  <c r="J190" i="2"/>
  <c r="M182" i="2"/>
  <c r="J182" i="2"/>
  <c r="J181" i="2"/>
  <c r="K181" i="2" s="1"/>
  <c r="L181" i="2" s="1"/>
  <c r="M181" i="2" s="1"/>
  <c r="N181" i="2" s="1"/>
  <c r="L180" i="2"/>
  <c r="M180" i="2" s="1"/>
  <c r="N180" i="2" s="1"/>
  <c r="J180" i="2"/>
  <c r="M179" i="2"/>
  <c r="J179" i="2"/>
  <c r="L178" i="2"/>
  <c r="J178" i="2"/>
  <c r="L177" i="2"/>
  <c r="J177" i="2"/>
  <c r="K176" i="2"/>
  <c r="M176" i="2" s="1"/>
  <c r="J176" i="2"/>
  <c r="O171" i="2"/>
  <c r="J171" i="2"/>
  <c r="L165" i="2"/>
  <c r="J165" i="2"/>
  <c r="H164" i="2"/>
  <c r="K164" i="2" s="1"/>
  <c r="H163" i="2"/>
  <c r="J163" i="2" s="1"/>
  <c r="J158" i="2"/>
  <c r="K152" i="2"/>
  <c r="L152" i="2" s="1"/>
  <c r="J152" i="2"/>
  <c r="L151" i="2"/>
  <c r="M151" i="2" s="1"/>
  <c r="N151" i="2" s="1"/>
  <c r="J151" i="2"/>
  <c r="K150" i="2"/>
  <c r="L150" i="2" s="1"/>
  <c r="M150" i="2" s="1"/>
  <c r="N150" i="2" s="1"/>
  <c r="J150" i="2"/>
  <c r="O145" i="2" s="1"/>
  <c r="J145" i="2"/>
  <c r="J136" i="2"/>
  <c r="L136" i="2" s="1"/>
  <c r="M136" i="2" s="1"/>
  <c r="N136" i="2" s="1"/>
  <c r="J128" i="2"/>
  <c r="I121" i="2"/>
  <c r="K121" i="2" s="1"/>
  <c r="J120" i="2"/>
  <c r="K120" i="2" s="1"/>
  <c r="L120" i="2" s="1"/>
  <c r="M120" i="2" s="1"/>
  <c r="N120" i="2" s="1"/>
  <c r="J119" i="2"/>
  <c r="L119" i="2" s="1"/>
  <c r="M119" i="2" s="1"/>
  <c r="N119" i="2" s="1"/>
  <c r="J114" i="2"/>
  <c r="Y111" i="2"/>
  <c r="N108" i="2"/>
  <c r="M108" i="2"/>
  <c r="J108" i="2"/>
  <c r="J102" i="2"/>
  <c r="K94" i="2"/>
  <c r="L94" i="2" s="1"/>
  <c r="M94" i="2" s="1"/>
  <c r="N94" i="2" s="1"/>
  <c r="J94" i="2"/>
  <c r="L93" i="2"/>
  <c r="J93" i="2"/>
  <c r="M93" i="2" s="1"/>
  <c r="O88" i="2"/>
  <c r="J88" i="2"/>
  <c r="L80" i="2"/>
  <c r="J80" i="2" s="1"/>
  <c r="L79" i="2"/>
  <c r="J79" i="2" s="1"/>
  <c r="L78" i="2"/>
  <c r="I77" i="2"/>
  <c r="L77" i="2" s="1"/>
  <c r="J77" i="2" s="1"/>
  <c r="L76" i="2"/>
  <c r="J76" i="2" s="1"/>
  <c r="K75" i="2"/>
  <c r="L75" i="2" s="1"/>
  <c r="M75" i="2" s="1"/>
  <c r="K74" i="2"/>
  <c r="J74" i="2" s="1"/>
  <c r="I73" i="2"/>
  <c r="J73" i="2" s="1"/>
  <c r="M73" i="2" s="1"/>
  <c r="N73" i="2" s="1"/>
  <c r="I72" i="2"/>
  <c r="J72" i="2" s="1"/>
  <c r="J67" i="2"/>
  <c r="K59" i="2"/>
  <c r="J59" i="2"/>
  <c r="K58" i="2"/>
  <c r="J58" i="2"/>
  <c r="K57" i="2"/>
  <c r="J57" i="2"/>
  <c r="K56" i="2"/>
  <c r="N56" i="2" s="1"/>
  <c r="J56" i="2"/>
  <c r="K55" i="2"/>
  <c r="M55" i="2" s="1"/>
  <c r="J55" i="2"/>
  <c r="K54" i="2"/>
  <c r="N54" i="2" s="1"/>
  <c r="J54" i="2"/>
  <c r="J53" i="2"/>
  <c r="H53" i="2"/>
  <c r="K53" i="2" s="1"/>
  <c r="K52" i="2"/>
  <c r="M52" i="2" s="1"/>
  <c r="J52" i="2"/>
  <c r="J51" i="2"/>
  <c r="H51" i="2"/>
  <c r="K51" i="2" s="1"/>
  <c r="K50" i="2"/>
  <c r="L50" i="2" s="1"/>
  <c r="M50" i="2" s="1"/>
  <c r="N50" i="2" s="1"/>
  <c r="J50" i="2"/>
  <c r="K49" i="2"/>
  <c r="L49" i="2" s="1"/>
  <c r="M49" i="2" s="1"/>
  <c r="N49" i="2" s="1"/>
  <c r="J49" i="2"/>
  <c r="K48" i="2"/>
  <c r="H48" i="2"/>
  <c r="J48" i="2" s="1"/>
  <c r="J47" i="2"/>
  <c r="H47" i="2"/>
  <c r="K47" i="2" s="1"/>
  <c r="H46" i="2"/>
  <c r="K46" i="2" s="1"/>
  <c r="J46" i="2" s="1"/>
  <c r="N41" i="2"/>
  <c r="M41" i="2"/>
  <c r="L41" i="2"/>
  <c r="K41" i="2"/>
  <c r="I41" i="2"/>
  <c r="J32" i="2"/>
  <c r="M32" i="2" s="1"/>
  <c r="N32" i="2" s="1"/>
  <c r="J31" i="2"/>
  <c r="N31" i="2" s="1"/>
  <c r="J30" i="2"/>
  <c r="M30" i="2" s="1"/>
  <c r="N19" i="2"/>
  <c r="M19" i="2"/>
  <c r="L19" i="2"/>
  <c r="K19" i="2"/>
  <c r="J18" i="2"/>
  <c r="K18" i="2" s="1"/>
  <c r="M17" i="2"/>
  <c r="L17" i="2"/>
  <c r="J17" i="2"/>
  <c r="J16" i="2"/>
  <c r="L16" i="2" s="1"/>
  <c r="J41" i="2" l="1"/>
  <c r="M31" i="2"/>
  <c r="O45" i="6"/>
  <c r="J19" i="2"/>
  <c r="J12" i="3"/>
  <c r="J19" i="7"/>
  <c r="O41" i="2"/>
  <c r="J37" i="4"/>
  <c r="O84" i="4"/>
  <c r="J18" i="7"/>
  <c r="L18" i="7" s="1"/>
  <c r="J19" i="4"/>
  <c r="O24" i="4"/>
  <c r="L52" i="2"/>
  <c r="L55" i="2"/>
  <c r="O190" i="2"/>
  <c r="O11" i="2"/>
  <c r="N52" i="2"/>
  <c r="N55" i="2"/>
  <c r="N93" i="2"/>
  <c r="L29" i="6"/>
  <c r="M29" i="6" s="1"/>
  <c r="N29" i="6" s="1"/>
  <c r="Y74" i="6"/>
  <c r="Y75" i="6" s="1"/>
  <c r="K28" i="6"/>
  <c r="L28" i="6" s="1"/>
  <c r="M28" i="6" s="1"/>
  <c r="N28" i="6" s="1"/>
  <c r="L17" i="5"/>
  <c r="M17" i="5" s="1"/>
  <c r="N17" i="5" s="1"/>
  <c r="M71" i="4"/>
  <c r="N71" i="4" s="1"/>
  <c r="M49" i="4"/>
  <c r="N49" i="4"/>
  <c r="L49" i="4"/>
  <c r="K68" i="4"/>
  <c r="L68" i="4" s="1"/>
  <c r="O11" i="4"/>
  <c r="N29" i="4"/>
  <c r="M30" i="4"/>
  <c r="J43" i="4"/>
  <c r="J47" i="4"/>
  <c r="L48" i="4"/>
  <c r="N48" i="4"/>
  <c r="J49" i="4"/>
  <c r="M50" i="4"/>
  <c r="L51" i="4"/>
  <c r="N51" i="4"/>
  <c r="M52" i="4"/>
  <c r="L89" i="4"/>
  <c r="N89" i="4"/>
  <c r="L50" i="4"/>
  <c r="L52" i="4"/>
  <c r="M78" i="3"/>
  <c r="N78" i="3" s="1"/>
  <c r="J78" i="3" s="1"/>
  <c r="M53" i="2"/>
  <c r="N53" i="2"/>
  <c r="L53" i="2"/>
  <c r="L121" i="2"/>
  <c r="M121" i="2" s="1"/>
  <c r="N121" i="2" s="1"/>
  <c r="K163" i="2"/>
  <c r="L163" i="2" s="1"/>
  <c r="M163" i="2" s="1"/>
  <c r="N163" i="2" s="1"/>
  <c r="K72" i="2"/>
  <c r="L72" i="2" s="1"/>
  <c r="N75" i="2"/>
  <c r="J75" i="2"/>
  <c r="Y73" i="2" s="1"/>
  <c r="Y74" i="2" s="1"/>
  <c r="L164" i="2"/>
  <c r="M164" i="2" s="1"/>
  <c r="N164" i="2" s="1"/>
  <c r="L197" i="2"/>
  <c r="M197" i="2"/>
  <c r="N197" i="2" s="1"/>
  <c r="N30" i="2"/>
  <c r="M54" i="2"/>
  <c r="M56" i="2"/>
  <c r="K196" i="2"/>
  <c r="L196" i="2" s="1"/>
  <c r="M196" i="2" s="1"/>
  <c r="N196" i="2" s="1"/>
  <c r="K197" i="2"/>
  <c r="K198" i="2"/>
  <c r="L198" i="2" s="1"/>
  <c r="M198" i="2" s="1"/>
  <c r="N198" i="2" s="1"/>
  <c r="O25" i="2"/>
  <c r="L54" i="2"/>
  <c r="L56" i="2"/>
  <c r="J167" i="1"/>
  <c r="J222" i="1"/>
  <c r="K222" i="1" s="1"/>
  <c r="L222" i="1" s="1"/>
  <c r="M222" i="1" s="1"/>
  <c r="N222" i="1" s="1"/>
  <c r="J229" i="1"/>
  <c r="K260" i="1"/>
  <c r="J221" i="1"/>
  <c r="J164" i="2" l="1"/>
  <c r="O158" i="2" s="1"/>
  <c r="M18" i="7"/>
  <c r="N18" i="7" s="1"/>
  <c r="O37" i="4"/>
  <c r="J71" i="4"/>
  <c r="J29" i="6"/>
  <c r="O23" i="6" s="1"/>
  <c r="O11" i="7"/>
  <c r="J121" i="2"/>
  <c r="O114" i="2" s="1"/>
  <c r="Y73" i="7"/>
  <c r="Y74" i="7" s="1"/>
  <c r="J17" i="5"/>
  <c r="O10" i="5" s="1"/>
  <c r="O12" i="3"/>
  <c r="J93" i="3"/>
  <c r="Y73" i="3"/>
  <c r="Y74" i="3" s="1"/>
  <c r="O67" i="2"/>
  <c r="M277" i="1"/>
  <c r="L260" i="1"/>
  <c r="N102" i="1"/>
  <c r="M102" i="1"/>
  <c r="J89" i="1"/>
  <c r="N89" i="1" s="1"/>
  <c r="O63" i="4" l="1"/>
  <c r="M89" i="1"/>
  <c r="L89" i="1"/>
  <c r="M260" i="1"/>
  <c r="N260" i="1" s="1"/>
  <c r="I70" i="1"/>
  <c r="I71" i="1"/>
  <c r="J113" i="1"/>
  <c r="J70" i="1" l="1"/>
  <c r="K70" i="1" s="1"/>
  <c r="J71" i="1"/>
  <c r="M71" i="1" s="1"/>
  <c r="J260" i="1"/>
  <c r="L113" i="1"/>
  <c r="J19" i="1"/>
  <c r="M19" i="1"/>
  <c r="L19" i="1"/>
  <c r="J274" i="1"/>
  <c r="I270" i="1"/>
  <c r="I268" i="1"/>
  <c r="J267" i="1"/>
  <c r="J264" i="1"/>
  <c r="J265" i="1"/>
  <c r="J266" i="1"/>
  <c r="J250" i="1"/>
  <c r="J251" i="1"/>
  <c r="J252" i="1"/>
  <c r="J253" i="1"/>
  <c r="J254" i="1"/>
  <c r="J255" i="1"/>
  <c r="J256" i="1"/>
  <c r="J257" i="1"/>
  <c r="J258" i="1"/>
  <c r="J259" i="1"/>
  <c r="J261" i="1"/>
  <c r="J249" i="1"/>
  <c r="J247" i="1"/>
  <c r="J245" i="1"/>
  <c r="J246" i="1"/>
  <c r="J244" i="1"/>
  <c r="J243" i="1"/>
  <c r="J242" i="1"/>
  <c r="J241" i="1"/>
  <c r="J239" i="1"/>
  <c r="J240" i="1"/>
  <c r="J238" i="1"/>
  <c r="J237" i="1"/>
  <c r="J236" i="1"/>
  <c r="J235" i="1"/>
  <c r="J233" i="1"/>
  <c r="J234" i="1"/>
  <c r="J232" i="1"/>
  <c r="J231" i="1"/>
  <c r="J230" i="1"/>
  <c r="J227" i="1"/>
  <c r="J226" i="1"/>
  <c r="J225" i="1"/>
  <c r="J223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80" i="1"/>
  <c r="J168" i="1"/>
  <c r="J153" i="1"/>
  <c r="J90" i="1"/>
  <c r="O84" i="1" s="1"/>
  <c r="J189" i="1"/>
  <c r="J188" i="1"/>
  <c r="J187" i="1"/>
  <c r="J186" i="1"/>
  <c r="J185" i="1"/>
  <c r="J184" i="1"/>
  <c r="J165" i="1"/>
  <c r="J166" i="1"/>
  <c r="J169" i="1"/>
  <c r="J164" i="1"/>
  <c r="J163" i="1"/>
  <c r="J139" i="1"/>
  <c r="J140" i="1"/>
  <c r="J138" i="1"/>
  <c r="J102" i="1"/>
  <c r="J54" i="1"/>
  <c r="J55" i="1"/>
  <c r="J56" i="1"/>
  <c r="J57" i="1"/>
  <c r="J58" i="1"/>
  <c r="J59" i="1"/>
  <c r="J49" i="1"/>
  <c r="J50" i="1"/>
  <c r="J52" i="1"/>
  <c r="K168" i="1" l="1"/>
  <c r="H152" i="1"/>
  <c r="K152" i="1" s="1"/>
  <c r="J127" i="1"/>
  <c r="L127" i="1" s="1"/>
  <c r="L152" i="1" l="1"/>
  <c r="M152" i="1" s="1"/>
  <c r="N152" i="1" s="1"/>
  <c r="M127" i="1"/>
  <c r="N127" i="1" s="1"/>
  <c r="J152" i="1" l="1"/>
  <c r="H46" i="1"/>
  <c r="K46" i="1" s="1"/>
  <c r="J46" i="1" s="1"/>
  <c r="H47" i="1"/>
  <c r="J47" i="1" s="1"/>
  <c r="H48" i="1"/>
  <c r="J48" i="1" s="1"/>
  <c r="K48" i="1"/>
  <c r="J273" i="1"/>
  <c r="J272" i="1"/>
  <c r="J271" i="1"/>
  <c r="J269" i="1"/>
  <c r="J263" i="1"/>
  <c r="J262" i="1"/>
  <c r="X249" i="1"/>
  <c r="H228" i="1"/>
  <c r="J228" i="1" s="1"/>
  <c r="I224" i="1"/>
  <c r="J224" i="1" s="1"/>
  <c r="J199" i="1"/>
  <c r="N194" i="1"/>
  <c r="M194" i="1"/>
  <c r="L194" i="1"/>
  <c r="K194" i="1"/>
  <c r="K189" i="1"/>
  <c r="L189" i="1" s="1"/>
  <c r="M188" i="1"/>
  <c r="M187" i="1"/>
  <c r="K186" i="1"/>
  <c r="L186" i="1" s="1"/>
  <c r="M186" i="1" s="1"/>
  <c r="K185" i="1"/>
  <c r="L185" i="1" s="1"/>
  <c r="M185" i="1" s="1"/>
  <c r="K184" i="1"/>
  <c r="N184" i="1" s="1"/>
  <c r="H183" i="1"/>
  <c r="H182" i="1"/>
  <c r="H181" i="1"/>
  <c r="K180" i="1"/>
  <c r="L180" i="1" s="1"/>
  <c r="M180" i="1" s="1"/>
  <c r="J175" i="1"/>
  <c r="M169" i="1"/>
  <c r="L168" i="1"/>
  <c r="M168" i="1" s="1"/>
  <c r="N168" i="1" s="1"/>
  <c r="L167" i="1"/>
  <c r="M167" i="1" s="1"/>
  <c r="N167" i="1" s="1"/>
  <c r="M166" i="1"/>
  <c r="L165" i="1"/>
  <c r="L164" i="1"/>
  <c r="K163" i="1"/>
  <c r="M163" i="1" s="1"/>
  <c r="J158" i="1"/>
  <c r="L153" i="1"/>
  <c r="H151" i="1"/>
  <c r="J151" i="1" s="1"/>
  <c r="K151" i="1" s="1"/>
  <c r="J146" i="1"/>
  <c r="K140" i="1"/>
  <c r="L140" i="1" s="1"/>
  <c r="L139" i="1"/>
  <c r="M139" i="1" s="1"/>
  <c r="K138" i="1"/>
  <c r="L138" i="1" s="1"/>
  <c r="M138" i="1" s="1"/>
  <c r="N138" i="1" s="1"/>
  <c r="J133" i="1"/>
  <c r="J121" i="1"/>
  <c r="I115" i="1"/>
  <c r="K115" i="1" s="1"/>
  <c r="J114" i="1"/>
  <c r="K114" i="1" s="1"/>
  <c r="L114" i="1" s="1"/>
  <c r="M114" i="1" s="1"/>
  <c r="N114" i="1" s="1"/>
  <c r="J108" i="1"/>
  <c r="Y105" i="1"/>
  <c r="J96" i="1"/>
  <c r="K90" i="1"/>
  <c r="L90" i="1" s="1"/>
  <c r="M90" i="1" s="1"/>
  <c r="N90" i="1" s="1"/>
  <c r="J84" i="1"/>
  <c r="L78" i="1"/>
  <c r="J78" i="1" s="1"/>
  <c r="L77" i="1"/>
  <c r="J77" i="1" s="1"/>
  <c r="L76" i="1"/>
  <c r="I75" i="1"/>
  <c r="L75" i="1" s="1"/>
  <c r="J75" i="1" s="1"/>
  <c r="L74" i="1"/>
  <c r="J74" i="1" s="1"/>
  <c r="K73" i="1"/>
  <c r="K72" i="1"/>
  <c r="J72" i="1" s="1"/>
  <c r="J65" i="1"/>
  <c r="K59" i="1"/>
  <c r="K58" i="1"/>
  <c r="K57" i="1"/>
  <c r="K56" i="1"/>
  <c r="N56" i="1" s="1"/>
  <c r="K55" i="1"/>
  <c r="M55" i="1" s="1"/>
  <c r="K54" i="1"/>
  <c r="N54" i="1" s="1"/>
  <c r="H53" i="1"/>
  <c r="K52" i="1"/>
  <c r="N52" i="1" s="1"/>
  <c r="H51" i="1"/>
  <c r="K50" i="1"/>
  <c r="L50" i="1" s="1"/>
  <c r="M50" i="1" s="1"/>
  <c r="N50" i="1" s="1"/>
  <c r="K49" i="1"/>
  <c r="L49" i="1" s="1"/>
  <c r="M49" i="1" s="1"/>
  <c r="N49" i="1" s="1"/>
  <c r="N41" i="1"/>
  <c r="M41" i="1"/>
  <c r="L41" i="1"/>
  <c r="K41" i="1"/>
  <c r="I41" i="1"/>
  <c r="J34" i="1"/>
  <c r="M34" i="1" s="1"/>
  <c r="N34" i="1" s="1"/>
  <c r="J33" i="1"/>
  <c r="M33" i="1" s="1"/>
  <c r="J32" i="1"/>
  <c r="N21" i="1"/>
  <c r="M21" i="1"/>
  <c r="L21" i="1"/>
  <c r="K21" i="1"/>
  <c r="J20" i="1"/>
  <c r="K20" i="1" s="1"/>
  <c r="J18" i="1"/>
  <c r="L73" i="1" l="1"/>
  <c r="M73" i="1" s="1"/>
  <c r="N73" i="1" s="1"/>
  <c r="K181" i="1"/>
  <c r="L181" i="1" s="1"/>
  <c r="M181" i="1" s="1"/>
  <c r="N181" i="1" s="1"/>
  <c r="J181" i="1"/>
  <c r="K183" i="1"/>
  <c r="L183" i="1" s="1"/>
  <c r="M183" i="1" s="1"/>
  <c r="N183" i="1" s="1"/>
  <c r="J183" i="1"/>
  <c r="K51" i="1"/>
  <c r="J51" i="1"/>
  <c r="K53" i="1"/>
  <c r="L53" i="1" s="1"/>
  <c r="J53" i="1"/>
  <c r="K182" i="1"/>
  <c r="J182" i="1"/>
  <c r="K47" i="1"/>
  <c r="N71" i="1"/>
  <c r="J41" i="1"/>
  <c r="N32" i="1"/>
  <c r="O27" i="1"/>
  <c r="L18" i="1"/>
  <c r="J21" i="1"/>
  <c r="O13" i="1" s="1"/>
  <c r="J194" i="1"/>
  <c r="M32" i="1"/>
  <c r="L55" i="1"/>
  <c r="N55" i="1"/>
  <c r="N139" i="1"/>
  <c r="M53" i="1"/>
  <c r="L115" i="1"/>
  <c r="M115" i="1" s="1"/>
  <c r="N115" i="1" s="1"/>
  <c r="N180" i="1"/>
  <c r="N33" i="1"/>
  <c r="M52" i="1"/>
  <c r="M54" i="1"/>
  <c r="M56" i="1"/>
  <c r="M113" i="1"/>
  <c r="N113" i="1" s="1"/>
  <c r="K228" i="1"/>
  <c r="L228" i="1" s="1"/>
  <c r="M228" i="1" s="1"/>
  <c r="N228" i="1" s="1"/>
  <c r="L52" i="1"/>
  <c r="L54" i="1"/>
  <c r="L56" i="1"/>
  <c r="N53" i="1" l="1"/>
  <c r="M182" i="1"/>
  <c r="N182" i="1" s="1"/>
  <c r="L182" i="1"/>
  <c r="J73" i="1"/>
  <c r="O133" i="1"/>
  <c r="O158" i="1"/>
  <c r="J115" i="1"/>
  <c r="O108" i="1" s="1"/>
  <c r="O175" i="1" l="1"/>
  <c r="O41" i="1"/>
  <c r="L151" i="1"/>
  <c r="M151" i="1" s="1"/>
  <c r="N151" i="1" s="1"/>
  <c r="O194" i="1"/>
  <c r="L70" i="1"/>
  <c r="O65" i="1" l="1"/>
  <c r="O146" i="1" l="1"/>
</calcChain>
</file>

<file path=xl/sharedStrings.xml><?xml version="1.0" encoding="utf-8"?>
<sst xmlns="http://schemas.openxmlformats.org/spreadsheetml/2006/main" count="2950" uniqueCount="298">
  <si>
    <t>Códigos</t>
  </si>
  <si>
    <t xml:space="preserve">Producto </t>
  </si>
  <si>
    <t>Descripción del Producto</t>
  </si>
  <si>
    <t xml:space="preserve">Unidad de medida            </t>
  </si>
  <si>
    <t xml:space="preserve">Medio de verificación                   </t>
  </si>
  <si>
    <t xml:space="preserve">Línea base                </t>
  </si>
  <si>
    <t xml:space="preserve">Meta total             </t>
  </si>
  <si>
    <t xml:space="preserve">Meta por trimestre                                                                                  </t>
  </si>
  <si>
    <t>Presupuesto</t>
  </si>
  <si>
    <t>Riesgo(s)</t>
  </si>
  <si>
    <t>UR</t>
  </si>
  <si>
    <t>UE</t>
  </si>
  <si>
    <t>PE</t>
  </si>
  <si>
    <t>Ene-Mar</t>
  </si>
  <si>
    <t>Abr-Jun</t>
  </si>
  <si>
    <t>Oct-Dic</t>
  </si>
  <si>
    <t xml:space="preserve">Ingresar a la formación docente  Inicial a  bachilleres y  docente en  servicios para formar a profesionales de alta competencia y mejorar las prácticas pedagógica para elevar la calidad de los aprendizajes de los alumnos. </t>
  </si>
  <si>
    <t xml:space="preserve">Docentes </t>
  </si>
  <si>
    <t xml:space="preserve">Informes </t>
  </si>
  <si>
    <t xml:space="preserve">Actividades                                                                  </t>
  </si>
  <si>
    <t>Insumos</t>
  </si>
  <si>
    <t>Inversión/trimestre (RD$)</t>
  </si>
  <si>
    <t xml:space="preserve">Fuente de financiamiento         </t>
  </si>
  <si>
    <t>Est. programática</t>
  </si>
  <si>
    <t>Cantidad</t>
  </si>
  <si>
    <t>Costo unitario (RD$)</t>
  </si>
  <si>
    <t>Monto (RD$)</t>
  </si>
  <si>
    <t>Prog.</t>
  </si>
  <si>
    <t>Act.</t>
  </si>
  <si>
    <t>Objeto</t>
  </si>
  <si>
    <t>Cuenta</t>
  </si>
  <si>
    <t>Sub cta.</t>
  </si>
  <si>
    <t>Auxiliar</t>
  </si>
  <si>
    <t xml:space="preserve">Fondo general </t>
  </si>
  <si>
    <t xml:space="preserve">Fondo General </t>
  </si>
  <si>
    <t xml:space="preserve">Programas </t>
  </si>
  <si>
    <t>Identificación</t>
  </si>
  <si>
    <t>Inicial</t>
  </si>
  <si>
    <t>Viáticos.</t>
  </si>
  <si>
    <t xml:space="preserve">Desarrollar un programa de incentivo  a estudiantes en condiciones de vulnerabilidad socio-económica, para garantizar su permanencia  en los programas de formación a tiempo completo y  sin residencia estudiantil. </t>
  </si>
  <si>
    <t xml:space="preserve">Bachilleres </t>
  </si>
  <si>
    <t xml:space="preserve">Insumos </t>
  </si>
  <si>
    <t>Fondo General</t>
  </si>
  <si>
    <t xml:space="preserve">Ingresar al Programa de Habilitación Docente a profesionales de áreas no curriculares para mejorar su práctica pedagógica y elevar la calidad de los aprendizajes de los alumnos. </t>
  </si>
  <si>
    <t>Profesionales  en proceso de Habilitación</t>
  </si>
  <si>
    <t xml:space="preserve">Que los docentes convocados no se interesen por el Programa.                                   </t>
  </si>
  <si>
    <t xml:space="preserve">5.1  Ingresar a 400 profesionales de áreas no pedagógica para mejorar su práctica en el aula y elevar la calidad de los aprendizajes de los alumnos. </t>
  </si>
  <si>
    <t xml:space="preserve">Habilitar profesionales de áreas no curriculares para mejorar su práctica pedagógica y elevar la calidad de los aprendizajes de los alumnos. </t>
  </si>
  <si>
    <t>Profesionales  Habilitados</t>
  </si>
  <si>
    <t xml:space="preserve">Que los profesionales que se habilitan no concluyan el Programa en su totalidad. </t>
  </si>
  <si>
    <t>Desarrollar programas de Postgrado dirigidos a docentes dotándolos de las competencias necesarias para su desempeño profesional con miras a aumentar la calidad de los aprendizajes de sus estudiantes.</t>
  </si>
  <si>
    <t>Docentes</t>
  </si>
  <si>
    <t>Fondo General (2013)</t>
  </si>
  <si>
    <t>Fondo general</t>
  </si>
  <si>
    <t>Informes</t>
  </si>
  <si>
    <t>Fondo de las IES</t>
  </si>
  <si>
    <t>Que los docentes no  cumplan con los requisitos establecidos.</t>
  </si>
  <si>
    <t>Capacitar a los docentes a través de programas de diplomados en las diferentes áreas, niveles y modalidad, con la finalidad de mejorar sus competencias  para su desempeño.</t>
  </si>
  <si>
    <t>Docente</t>
  </si>
  <si>
    <t>Informe de evaluación</t>
  </si>
  <si>
    <t>Apoyar la participación de docentes en eventos educativos nacionales e internacionales  (seminarios, congresos,  cursos, pasantías,  conferencias, otros), para favorecer  el desarrollo y actualización de las competencias docentes y mejorar su práctica en el aula.</t>
  </si>
  <si>
    <t>Informe y lista de participación.</t>
  </si>
  <si>
    <t>Fortalecer las capacidades institucionales del sistema para el logro de las transformaciones fundamentales de los equipos distritales y de centros educativos para la autogestión proactiva y sistemática de los cambios y mejoras que requieren sus comunidades educativas.</t>
  </si>
  <si>
    <t>Informe de acompañamiento</t>
  </si>
  <si>
    <t xml:space="preserve">Contrato con universidad. </t>
  </si>
  <si>
    <t xml:space="preserve">Realizar estudios y evaluaciones    de diagnóstico, seguimiento e impacto a cinco(5) programas de formación desarrollados por el Inafocam, para determinar  los niveles  de satisfacción  en el logro  de los objetivos  de los programas y las competencias adquiridas por los participantes. </t>
  </si>
  <si>
    <t>programas evaluados</t>
  </si>
  <si>
    <t xml:space="preserve">Informes  de resultados </t>
  </si>
  <si>
    <t>Cubrir las necesidades básicas de la institución, con el propósito de ofrecer mejor servicio y garantizar el correcto desenvolvimiento de la organización.</t>
  </si>
  <si>
    <t>Servicios</t>
  </si>
  <si>
    <t>Pagos realizados/ Facturas pagadas</t>
  </si>
  <si>
    <t>Retraso en la asignación y disponibilidad de los recursos.</t>
  </si>
  <si>
    <t>Fondo Genera</t>
  </si>
  <si>
    <t>Piezas de Computadoras</t>
  </si>
  <si>
    <t>Matt. Planta Eléctrica</t>
  </si>
  <si>
    <r>
      <t xml:space="preserve">Política Educativa (PE)  6:  </t>
    </r>
    <r>
      <rPr>
        <sz val="14"/>
        <color theme="1"/>
        <rFont val="Calibri"/>
        <family val="2"/>
        <scheme val="minor"/>
      </rPr>
      <t xml:space="preserve">Priorizar la formación de recursos humanos de altas calificaciones para el sector  educativo y promover la permanencia y crecimiento profesional del personal ya contratado. </t>
    </r>
  </si>
  <si>
    <r>
      <t xml:space="preserve">Unidad Ejecutora (UE): </t>
    </r>
    <r>
      <rPr>
        <sz val="14"/>
        <color theme="1"/>
        <rFont val="Calibri"/>
        <family val="2"/>
        <scheme val="minor"/>
      </rPr>
      <t>Instituto Nacional de Formación y Capacitación del Magisterio</t>
    </r>
  </si>
  <si>
    <t>Productos y sus atributos</t>
  </si>
  <si>
    <t>Actividades y sus atributos</t>
  </si>
  <si>
    <t>ID</t>
  </si>
  <si>
    <t>INAFOCAM</t>
  </si>
  <si>
    <t xml:space="preserve">1. Docentes en Proceso de Formación Inicial. </t>
  </si>
  <si>
    <t xml:space="preserve">2. Docentes Graduados </t>
  </si>
  <si>
    <t>Graduar  docentes  con la competencia requeridas para su ingreso y permanencia  en la carrera docente.</t>
  </si>
  <si>
    <t>2.1 Reconocimiento a la Excelencia Académica.</t>
  </si>
  <si>
    <t xml:space="preserve">Que los estudiantes no cumplan con los requisitos establecidos por la Universidad. </t>
  </si>
  <si>
    <t xml:space="preserve">3. Programas de formación inicial, habilitación docentes, post-grado y continua monitoreados. </t>
  </si>
  <si>
    <t xml:space="preserve">a) Que no se cuente con la logística apropiada para la movilidad a las diferentes IES.     
                                                                b) Que las IES no dispongan de las informaciones requeridas.                                      </t>
  </si>
  <si>
    <t>Monitorear la eficiencia y eficacia  de los programas de formación en proceso para garantizar el cumplimiento de los mismos.</t>
  </si>
  <si>
    <t>3.5  Encuentro Académicos con las IES.</t>
  </si>
  <si>
    <t>Viáticos  (86 visitas).</t>
  </si>
  <si>
    <t>Combustible gasoil (Galón).</t>
  </si>
  <si>
    <t>Viático por visita.</t>
  </si>
  <si>
    <t>Combustible (gasoil).</t>
  </si>
  <si>
    <t>Peajes.</t>
  </si>
  <si>
    <t>Combustible galones gasoil.</t>
  </si>
  <si>
    <t xml:space="preserve">Instrumento de evaluación. </t>
  </si>
  <si>
    <t xml:space="preserve">3.1 Visitas a las diferentes IES en donde se desarrollan los programas de formación inicial, habilitación docente. </t>
  </si>
  <si>
    <t>Lápiz (caja de 20).</t>
  </si>
  <si>
    <t>3.2 Dar seguimiento programas de formación vigentes Post Grado.</t>
  </si>
  <si>
    <t>3.3 Realización de seguimientos  a   programas  formativos continua tomando en cuenta los  términos de referencia  que lo sustentan.</t>
  </si>
  <si>
    <t xml:space="preserve">3.4 Informe de los resultados del seguimiento. </t>
  </si>
  <si>
    <t>Papel.</t>
  </si>
  <si>
    <t>Viáticos  (X persona).</t>
  </si>
  <si>
    <t>4. Incentivos a la formación docente.</t>
  </si>
  <si>
    <t>IINAFOCAM</t>
  </si>
  <si>
    <t>Premios metálico.</t>
  </si>
  <si>
    <t>Combustible gasoil (Galones).</t>
  </si>
  <si>
    <t xml:space="preserve">4.3 Incentivo de apoyo (útiles) estudiantes en programas de formación inicial. </t>
  </si>
  <si>
    <t>4.4  Reconocimiento  a 15 maestros con buenas prácticas docentes en las áreas de inicial, matemáticas, lengua española, naturales y sociales.</t>
  </si>
  <si>
    <t>4.1 Incentivo de apoyo económico a 508 a estudiantes   en  programas de formación (enero-junio).</t>
  </si>
  <si>
    <t>4.2 Incentivo de apoyo económico a 711 estudiantes en  programas de formación (julio-diciembre).</t>
  </si>
  <si>
    <t xml:space="preserve">5. Profesionales que ingresan  al programa de habilitación. </t>
  </si>
  <si>
    <t xml:space="preserve">6. Profesionales  Habilitados. </t>
  </si>
  <si>
    <t>7. Docentes  en proceso de formación  de Postgrado.</t>
  </si>
  <si>
    <t>* No presentación de propuestas formativas a tiempo. 
* Desaprobación de propuestas formativas.         
*Aumento de los presupuestos para ejecución de programas, por parte de las IES.</t>
  </si>
  <si>
    <t>Jul-Sep</t>
  </si>
  <si>
    <t>7.1 Ingresar 2,410 docentes en programas  formativos de Postgrado.</t>
  </si>
  <si>
    <t>7.2 Compromisos de de becarios.</t>
  </si>
  <si>
    <t>8. Docentes graduados con Postgrado.</t>
  </si>
  <si>
    <t>Capacitar a nivel de postgrado, a los docentes del Sistema Educativo Dominicano en diferentes áreas pedagógicas prioritarias, con el propósito de impactar en la calidad de los aprendizajes.</t>
  </si>
  <si>
    <t>9. Docentes con Formación Continua recibidas</t>
  </si>
  <si>
    <t>9.2 Ejecución de diplomados en las diferentes modalidades,  educación de personas jóvenes y adultas,  y técnico profesional .</t>
  </si>
  <si>
    <t>9.3 Ejecución de diplomados en las  áreas: Cultura, orientación y psicología, educación especial, participación comunitaria y supervisión.</t>
  </si>
  <si>
    <t>9.1 Ejecución de diplomados en las diferentes áreas curriculares: lengua española, matemática, ciencias naturales, ciencias sociales, lenguas extranjeras,  artística, educación física, formación integral, humana y religiosa, y género en los diferentes niveles inicial, básico y media.</t>
  </si>
  <si>
    <t>10. Docentes participando en Seminarios, Congresos, Conferencias y Otros.</t>
  </si>
  <si>
    <t>* Suspensión de eventos propias de los organizadores institucionales   y por causas externas al  Inafocam.
                                                          *Cambio atmosférico significativo.</t>
  </si>
  <si>
    <t xml:space="preserve">10,1 Participación de docentes seminarios, congresos, talleres, cursos nacionales e internacional. </t>
  </si>
  <si>
    <t>11.1 Formación  y acompañamiento  a docentes mejorando su práctica pedagógica en comunidades de aprendizaje . 
(docentes)</t>
  </si>
  <si>
    <t>11.2 Elaboración de módulos tomando en cuenta las necesidades de formación según levantamiento y  la revisión curricular.</t>
  </si>
  <si>
    <t>11.3 Contratación de expertos curriculares internacionales para consulta de los módulos.</t>
  </si>
  <si>
    <t>I1.4 Impresión de módulos.</t>
  </si>
  <si>
    <t>11.5 Realización pasantía internacional.</t>
  </si>
  <si>
    <t>11.6 Contratación de coordinación,  nacionales e  internacionales  equipo acompañamiento  y seguimiento.</t>
  </si>
  <si>
    <t>11.7 Colocación de módulos en plataforma virtual.</t>
  </si>
  <si>
    <t>Documento módulo.</t>
  </si>
  <si>
    <t xml:space="preserve">Contrato consultoría. </t>
  </si>
  <si>
    <t>Módulos impresos.</t>
  </si>
  <si>
    <t>Viáticos 15 personal por 10 días.</t>
  </si>
  <si>
    <t>Plataforma virtual.</t>
  </si>
  <si>
    <t>Honorarios.</t>
  </si>
  <si>
    <t>Impresiones Instrumentos.</t>
  </si>
  <si>
    <t>Contratación empresa de evaluación.</t>
  </si>
  <si>
    <t>Viáticos (x persona).</t>
  </si>
  <si>
    <t>Combustible gasoil (galones).</t>
  </si>
  <si>
    <t>Refrigerios (x actividad).</t>
  </si>
  <si>
    <t xml:space="preserve">Transporte. </t>
  </si>
  <si>
    <t>Copias (x unidad).</t>
  </si>
  <si>
    <t>12.1  Evaluaciones de diagnósticos y seguimiento  a Programas Formativos ofrecidos por Inafocam.</t>
  </si>
  <si>
    <t>12.2 Estudios relacionados con la formación de docentes y directores (4), con el objetivo de obtener información relevante para la mejora de los programas formativos.</t>
  </si>
  <si>
    <t>12. Estudios y evaluaciones realizadas</t>
  </si>
  <si>
    <t>13. Necesidades Operacionales del INAFOCAM Cubiertas.</t>
  </si>
  <si>
    <t>Servicios de internet y televisión por cable.</t>
  </si>
  <si>
    <t>Ingresar 3,500 docentes en programas especiales,(Presidencia).</t>
  </si>
  <si>
    <t>*Que los programas no inicien a tiempo.
*Que se presente algún cambio en el programa y no se nos informe a tiempo.        
*Huelgas.</t>
  </si>
  <si>
    <t>13. Pago servicios básicos.</t>
  </si>
  <si>
    <t>Servicios telefónicos.</t>
  </si>
  <si>
    <t xml:space="preserve">Servicios de fumigación. </t>
  </si>
  <si>
    <t>Marbete.</t>
  </si>
  <si>
    <t>Pago de garaje.</t>
  </si>
  <si>
    <t>Comestible.</t>
  </si>
  <si>
    <t>Comisiones bancarias.</t>
  </si>
  <si>
    <t>Servicios de lavandería.</t>
  </si>
  <si>
    <t>13.2 Pago de servicios de telecomunicaciones.</t>
  </si>
  <si>
    <t>13.3 Pago de seguro.</t>
  </si>
  <si>
    <t>Seguro de vehículo (póliza).</t>
  </si>
  <si>
    <t>Complementario (póliza).</t>
  </si>
  <si>
    <t>Seguro del edificio institución (póliza).</t>
  </si>
  <si>
    <t>Póliza seguridad social.</t>
  </si>
  <si>
    <t>13.4 Adquisición de combustibles y lubricantes.</t>
  </si>
  <si>
    <t>Galones de Gasolina.</t>
  </si>
  <si>
    <t>Galones de Gasoil.</t>
  </si>
  <si>
    <t>Aceite mono grado.</t>
  </si>
  <si>
    <t>Aceite multigrado.</t>
  </si>
  <si>
    <t xml:space="preserve">Aceite de transmisión. </t>
  </si>
  <si>
    <t>Coolan.</t>
  </si>
  <si>
    <t xml:space="preserve">Líquido de freno. </t>
  </si>
  <si>
    <t>Puntos de voz y data.</t>
  </si>
  <si>
    <t>Software.</t>
  </si>
  <si>
    <t>Equipos.</t>
  </si>
  <si>
    <t>13.5 Adquisición y mantenimiento de equipos y software.</t>
  </si>
  <si>
    <t>Licencia de software.</t>
  </si>
  <si>
    <t>13.6 Adquisición de material gastable.</t>
  </si>
  <si>
    <t>Artículos diversos.</t>
  </si>
  <si>
    <t>Artículos de caucho.</t>
  </si>
  <si>
    <t>13.7 Pago Mantenimiento de vehículo.</t>
  </si>
  <si>
    <t>Gomas Bridgestone.</t>
  </si>
  <si>
    <t>Baterías Motocrat.</t>
  </si>
  <si>
    <t>Agua de  batería.</t>
  </si>
  <si>
    <t>Power Still Stering.</t>
  </si>
  <si>
    <t>13.8  Implementación Sistema de Gestión De La Calidad ( ISO 9001-2008).</t>
  </si>
  <si>
    <t xml:space="preserve">Impresión Manual de Organización. </t>
  </si>
  <si>
    <t>Taller Socialización ( Refrigerio).</t>
  </si>
  <si>
    <t>contratación de especialista.</t>
  </si>
  <si>
    <t>Impresión de letreros.</t>
  </si>
  <si>
    <t>Bono de desempeño.</t>
  </si>
  <si>
    <t>Impresión de Instructivo.</t>
  </si>
  <si>
    <t>Carnet.</t>
  </si>
  <si>
    <t>Boletines.</t>
  </si>
  <si>
    <t>Brochure.</t>
  </si>
  <si>
    <t>Calendario.</t>
  </si>
  <si>
    <t>Carpetas.</t>
  </si>
  <si>
    <t>Publicación medio de prensa.</t>
  </si>
  <si>
    <t>Catálogo de publicaciones.</t>
  </si>
  <si>
    <t>Combustible.</t>
  </si>
  <si>
    <t>Lápices.</t>
  </si>
  <si>
    <t>Resma de papel.</t>
  </si>
  <si>
    <t>Bolígrafo.</t>
  </si>
  <si>
    <t>Base de Datos.</t>
  </si>
  <si>
    <t>Folder de bolsillo.</t>
  </si>
  <si>
    <t xml:space="preserve">Suscripción. </t>
  </si>
  <si>
    <t>Revistas.</t>
  </si>
  <si>
    <t>Anaqueles.</t>
  </si>
  <si>
    <t>Contratación.</t>
  </si>
  <si>
    <t>Sobre jornales.</t>
  </si>
  <si>
    <t>Confecciones .</t>
  </si>
  <si>
    <t>Pago regalía.</t>
  </si>
  <si>
    <t>Hora extra.</t>
  </si>
  <si>
    <t>Misa.</t>
  </si>
  <si>
    <t>Refrigerio.</t>
  </si>
  <si>
    <t xml:space="preserve">Bono Aniversario. </t>
  </si>
  <si>
    <t>13.12 Adquisición de vehículo.</t>
  </si>
  <si>
    <t>13.10 Administración de Personal.</t>
  </si>
  <si>
    <t>13.11 Celebración Aniversario.</t>
  </si>
  <si>
    <t>13.9 Documentación e Impresos.</t>
  </si>
  <si>
    <t xml:space="preserve">Acondicionamiento estructura física. </t>
  </si>
  <si>
    <t>13.13  Mantenimiento de Edificio.</t>
  </si>
  <si>
    <t>13.14  Captar, evaluar y seleccionar becarios para los programas formativos.</t>
  </si>
  <si>
    <t>Vehículo.</t>
  </si>
  <si>
    <t xml:space="preserve">Resma de Papel. </t>
  </si>
  <si>
    <t>Lapiceros.</t>
  </si>
  <si>
    <t>Lápiz.</t>
  </si>
  <si>
    <t xml:space="preserve">Que la población meta no cumpla con los requisitos pre-establecidos. </t>
  </si>
  <si>
    <t>1.2 Convivencia para becarios en procesos de formación.</t>
  </si>
  <si>
    <t xml:space="preserve">1.1  Ingreso de  1,659 estudiantes  para la formación inicial docente. </t>
  </si>
  <si>
    <t>1.3 Comprometido becarios.</t>
  </si>
  <si>
    <t>* Presupuesto no llegue  tiempo.
* Incumplimiento de las IES con los acuerdos contratos.
* Centros educativos no asuman compromiso.</t>
  </si>
  <si>
    <t>Servicios de agua potable.</t>
  </si>
  <si>
    <t>* Presupuesto no llegue  tiempo.
* Cambio atmosférico significativo.</t>
  </si>
  <si>
    <t xml:space="preserve">Que las IES no disponga de la  ofertar formativa y condiciones técnicas para cumplir con las demandas requeridas por el MINERD y MESCYT  </t>
  </si>
  <si>
    <t>Presupuesto IES</t>
  </si>
  <si>
    <t>Fondo IES</t>
  </si>
  <si>
    <t>Viáticos fuera del pais</t>
  </si>
  <si>
    <t>Viáticos dentro del pais</t>
  </si>
  <si>
    <t>11.Marco de Formación Continua Implementado</t>
  </si>
  <si>
    <r>
      <t xml:space="preserve">Unidad Rectora (UR): </t>
    </r>
    <r>
      <rPr>
        <sz val="14"/>
        <color theme="1"/>
        <rFont val="Calibri"/>
        <family val="2"/>
        <scheme val="minor"/>
      </rPr>
      <t xml:space="preserve"> Institutos Descentralizados</t>
    </r>
  </si>
  <si>
    <t>8,1- Graduar 825 docentes con grado de postgrado para mejora de sus prácticas en el  aula  y  aprendizajes de niños/as.</t>
  </si>
  <si>
    <t xml:space="preserve">6 .1- Habilitar para la docencia 445 profesionales de areas no curriculares, </t>
  </si>
  <si>
    <t>Resma de papel bond</t>
  </si>
  <si>
    <t>Contratación de Presentación artística.</t>
  </si>
  <si>
    <t xml:space="preserve">Pago de Matriculación </t>
  </si>
  <si>
    <t>Pago de Matriculación</t>
  </si>
  <si>
    <t>Medallas  Magna y Cum Laude.</t>
  </si>
  <si>
    <t>Pago de Matricula  (año 2014).</t>
  </si>
  <si>
    <t>Pago de matricula   (años anteriores).</t>
  </si>
  <si>
    <t>Placas para  estudiantes Summa Cum Laude.</t>
  </si>
  <si>
    <t xml:space="preserve">Mochilas. </t>
  </si>
  <si>
    <t>Laptop</t>
  </si>
  <si>
    <t xml:space="preserve">Galones de gasoil </t>
  </si>
  <si>
    <t xml:space="preserve">Pago de Matriculación  </t>
  </si>
  <si>
    <t>Transferencia a universidades, institutos, otros ministerios y ONG.</t>
  </si>
  <si>
    <t>Transferencia a universidades, institutos, otros ministerios,  consejo nacional de droga  y ONG.</t>
  </si>
  <si>
    <t>Pago de ayuntamiento (basura)</t>
  </si>
  <si>
    <t xml:space="preserve">Contratación local (Hotel) por tres(3) dias, para 1,659.personas, (incluye refrigrio, Habitación , salon de conferencias.,entre otros) </t>
  </si>
  <si>
    <t xml:space="preserve"> Kit de Física  Summa Cum Laude. (equipo para laboratotio, área de Ciencias</t>
  </si>
  <si>
    <t>Pago de transporte.(para 508 estudiantes de $4000.00 por 6 meses)</t>
  </si>
  <si>
    <t>Pago de transporte. .(para 711 estudiantes de $4000.00 por 6 meses),</t>
  </si>
  <si>
    <t>T-shirt ( 3 C/U a $700,00  por estudiante).</t>
  </si>
  <si>
    <t>Contratación local. (Hotel , incluye refrigerio, alimentacion, habitaciones, 100 personas)</t>
  </si>
  <si>
    <t xml:space="preserve">Contratación.(para 4 especialistas por 12 meses a RD$100000,00 ) </t>
  </si>
  <si>
    <t>Souvenils (unidad)</t>
  </si>
  <si>
    <t>Cursos.(entrenamiento personal en diferentes áreas)</t>
  </si>
  <si>
    <t>Implementación y entrenamiento de Software.(Implementar el sofware y entrenar el personal en su  uso)</t>
  </si>
  <si>
    <t>Mantenimiento de vehículos(compra de servicios).</t>
  </si>
  <si>
    <t>Mantenimiento. de software.(contratación de servicios)</t>
  </si>
  <si>
    <t>Mantenimiento de equipos(compra de servicios).</t>
  </si>
  <si>
    <t>Total…</t>
  </si>
  <si>
    <t>Total..</t>
  </si>
  <si>
    <t>Ministerio de Educación</t>
  </si>
  <si>
    <t>Instituto Nacional de Formación y Capacitación del Magisterio</t>
  </si>
  <si>
    <t>Departamento de Planficación</t>
  </si>
  <si>
    <t>PRESUPUESTO GENERAL Y ADMINISTRATIVO</t>
  </si>
  <si>
    <t>AÑO 2014</t>
  </si>
  <si>
    <t>Área/Departamento</t>
  </si>
  <si>
    <t>Monto Asignado RD$</t>
  </si>
  <si>
    <t xml:space="preserve">% </t>
  </si>
  <si>
    <t>FORMACIÓN CONTINUA</t>
  </si>
  <si>
    <t>Academico</t>
  </si>
  <si>
    <t>FORMACIÓN INICIAL Y HABILITACIÓN DOCENTE</t>
  </si>
  <si>
    <t>Administrativo</t>
  </si>
  <si>
    <t>POSTGRADO</t>
  </si>
  <si>
    <t>INVESTIGACIÓN</t>
  </si>
  <si>
    <t>ADMINISTRATIVO</t>
  </si>
  <si>
    <t>TOTAL …</t>
  </si>
  <si>
    <t>Plan Operativo Anual(POA) 2014</t>
  </si>
  <si>
    <t>Inafocam</t>
  </si>
  <si>
    <t>Departamento de Planificación</t>
  </si>
  <si>
    <t>Total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</si>
</sst>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* #,##0.00_);_(* \(#,##0.00\);_(* &quot;-&quot;??_);_(@_)"/>
    <numFmt numFmtId="167" formatCode="#,##0.000"/>
    <numFmt numFmtId="168" formatCode="#,##0;[Red]#,##0"/>
    <numFmt numFmtId="169" formatCode="#,##0.0"/>
    <numFmt numFmtId="170" formatCode="#,##0.00_ ;\-#,##0.00\ "/>
    <numFmt numFmtId="171" formatCode="_-* #,##0\ _€_-;\-* #,##0\ _€_-;_-* &quot;-&quot;??\ _€_-;_-@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3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3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double">
        <color theme="3" tint="-0.24994659260841701"/>
      </bottom>
      <diagonal/>
    </border>
    <border>
      <left style="double">
        <color theme="3" tint="-0.24994659260841701"/>
      </left>
      <right style="double">
        <color theme="3" tint="-0.24994659260841701"/>
      </right>
      <top style="double">
        <color theme="3" tint="-0.24994659260841701"/>
      </top>
      <bottom style="double">
        <color theme="3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double">
        <color theme="3" tint="-0.24994659260841701"/>
      </top>
      <bottom style="medium">
        <color theme="4" tint="-0.24994659260841701"/>
      </bottom>
      <diagonal/>
    </border>
    <border>
      <left/>
      <right style="thin">
        <color indexed="64"/>
      </right>
      <top/>
      <bottom/>
      <diagonal/>
    </border>
    <border>
      <left style="double">
        <color theme="3" tint="-0.24994659260841701"/>
      </left>
      <right/>
      <top/>
      <bottom/>
      <diagonal/>
    </border>
    <border>
      <left/>
      <right style="double">
        <color theme="3" tint="-0.24994659260841701"/>
      </right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 style="double">
        <color theme="3" tint="-0.24994659260841701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/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double">
        <color theme="3" tint="-0.24994659260841701"/>
      </left>
      <right/>
      <top style="double">
        <color theme="3" tint="-0.24994659260841701"/>
      </top>
      <bottom style="double">
        <color theme="3" tint="-0.24994659260841701"/>
      </bottom>
      <diagonal/>
    </border>
    <border>
      <left style="medium">
        <color theme="4" tint="-0.24994659260841701"/>
      </left>
      <right/>
      <top style="double">
        <color theme="3" tint="-0.24994659260841701"/>
      </top>
      <bottom style="medium">
        <color theme="4" tint="-0.24994659260841701"/>
      </bottom>
      <diagonal/>
    </border>
    <border>
      <left style="double">
        <color theme="3" tint="-0.24994659260841701"/>
      </left>
      <right style="double">
        <color theme="3" tint="-0.24994659260841701"/>
      </right>
      <top style="double">
        <color theme="3" tint="-0.24994659260841701"/>
      </top>
      <bottom/>
      <diagonal/>
    </border>
    <border>
      <left/>
      <right/>
      <top style="double">
        <color theme="3" tint="-0.24994659260841701"/>
      </top>
      <bottom style="double">
        <color theme="3" tint="-0.24994659260841701"/>
      </bottom>
      <diagonal/>
    </border>
    <border>
      <left/>
      <right style="double">
        <color theme="3" tint="-0.24994659260841701"/>
      </right>
      <top style="double">
        <color theme="3" tint="-0.24994659260841701"/>
      </top>
      <bottom style="double">
        <color theme="3" tint="-0.24994659260841701"/>
      </bottom>
      <diagonal/>
    </border>
    <border>
      <left style="double">
        <color theme="3" tint="-0.24994659260841701"/>
      </left>
      <right/>
      <top style="double">
        <color theme="3" tint="-0.24994659260841701"/>
      </top>
      <bottom/>
      <diagonal/>
    </border>
    <border>
      <left/>
      <right/>
      <top style="double">
        <color theme="3" tint="-0.24994659260841701"/>
      </top>
      <bottom/>
      <diagonal/>
    </border>
    <border>
      <left/>
      <right style="double">
        <color theme="3" tint="-0.24994659260841701"/>
      </right>
      <top style="double">
        <color theme="3" tint="-0.24994659260841701"/>
      </top>
      <bottom/>
      <diagonal/>
    </border>
    <border>
      <left style="double">
        <color theme="3" tint="-0.24994659260841701"/>
      </left>
      <right style="double">
        <color theme="3" tint="-0.24994659260841701"/>
      </right>
      <top/>
      <bottom/>
      <diagonal/>
    </border>
    <border>
      <left/>
      <right style="medium">
        <color theme="3" tint="0.39994506668294322"/>
      </right>
      <top/>
      <bottom style="medium">
        <color theme="3" tint="0.39994506668294322"/>
      </bottom>
      <diagonal/>
    </border>
    <border>
      <left/>
      <right/>
      <top style="double">
        <color theme="3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double">
        <color theme="3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77111117893"/>
      </left>
      <right style="medium">
        <color theme="4" tint="-0.249977111117893"/>
      </right>
      <top style="double">
        <color theme="4" tint="-0.249977111117893"/>
      </top>
      <bottom style="medium">
        <color theme="4" tint="-0.24997711111789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theme="4" tint="-0.2499465926084170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double">
        <color theme="4" tint="-0.24994659260841701"/>
      </top>
      <bottom style="medium">
        <color theme="4" tint="-0.24994659260841701"/>
      </bottom>
      <diagonal/>
    </border>
    <border>
      <left style="double">
        <color theme="3" tint="-0.24994659260841701"/>
      </left>
      <right style="double">
        <color theme="3" tint="-0.24994659260841701"/>
      </right>
      <top style="double">
        <color theme="3" tint="-0.24994659260841701"/>
      </top>
      <bottom style="double">
        <color theme="4" tint="-0.24994659260841701"/>
      </bottom>
      <diagonal/>
    </border>
    <border>
      <left style="medium">
        <color theme="4" tint="-0.249977111117893"/>
      </left>
      <right style="medium">
        <color theme="4" tint="-0.249977111117893"/>
      </right>
      <top style="double">
        <color theme="3" tint="-0.24994659260841701"/>
      </top>
      <bottom style="medium">
        <color theme="4" tint="-0.249977111117893"/>
      </bottom>
      <diagonal/>
    </border>
    <border>
      <left/>
      <right style="medium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 style="double">
        <color theme="3" tint="-0.24994659260841701"/>
      </left>
      <right style="double">
        <color theme="3" tint="-0.24994659260841701"/>
      </right>
      <top style="double">
        <color theme="3" tint="-0.24994659260841701"/>
      </top>
      <bottom style="medium">
        <color theme="4" tint="-0.249977111117893"/>
      </bottom>
      <diagonal/>
    </border>
    <border>
      <left style="double">
        <color theme="3" tint="-0.24994659260841701"/>
      </left>
      <right style="double">
        <color theme="3" tint="-0.24994659260841701"/>
      </right>
      <top style="double">
        <color theme="3" tint="-0.24994659260841701"/>
      </top>
      <bottom style="double">
        <color theme="4" tint="-0.249977111117893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double">
        <color theme="4" tint="-0.24994659260841701"/>
      </top>
      <bottom/>
      <diagonal/>
    </border>
    <border>
      <left style="medium">
        <color theme="4" tint="-0.24994659260841701"/>
      </left>
      <right/>
      <top style="double">
        <color theme="4" tint="-0.24994659260841701"/>
      </top>
      <bottom/>
      <diagonal/>
    </border>
    <border>
      <left/>
      <right style="medium">
        <color theme="4" tint="-0.24994659260841701"/>
      </right>
      <top style="double">
        <color theme="4" tint="-0.24994659260841701"/>
      </top>
      <bottom/>
      <diagonal/>
    </border>
    <border>
      <left style="medium">
        <color theme="4" tint="-0.249977111117893"/>
      </left>
      <right style="medium">
        <color theme="4" tint="-0.249977111117893"/>
      </right>
      <top/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4659260841701"/>
      </top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 style="double">
        <color theme="4" tint="-0.24994659260841701"/>
      </top>
      <bottom style="medium">
        <color theme="4" tint="-0.249977111117893"/>
      </bottom>
      <diagonal/>
    </border>
  </borders>
  <cellStyleXfs count="4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3" borderId="0" applyNumberFormat="0" applyBorder="0" applyAlignment="0" applyProtection="0"/>
    <xf numFmtId="0" fontId="16" fillId="7" borderId="0" applyNumberFormat="0" applyBorder="0" applyAlignment="0" applyProtection="0"/>
    <xf numFmtId="0" fontId="17" fillId="24" borderId="25" applyNumberFormat="0" applyAlignment="0" applyProtection="0"/>
    <xf numFmtId="0" fontId="18" fillId="25" borderId="26" applyNumberForma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1" fillId="0" borderId="27" applyNumberFormat="0" applyFill="0" applyAlignment="0" applyProtection="0"/>
    <xf numFmtId="0" fontId="22" fillId="0" borderId="28" applyNumberFormat="0" applyFill="0" applyAlignment="0" applyProtection="0"/>
    <xf numFmtId="0" fontId="23" fillId="0" borderId="29" applyNumberFormat="0" applyFill="0" applyAlignment="0" applyProtection="0"/>
    <xf numFmtId="0" fontId="23" fillId="0" borderId="0" applyNumberFormat="0" applyFill="0" applyBorder="0" applyAlignment="0" applyProtection="0"/>
    <xf numFmtId="0" fontId="24" fillId="11" borderId="25" applyNumberFormat="0" applyAlignment="0" applyProtection="0"/>
    <xf numFmtId="0" fontId="25" fillId="0" borderId="30" applyNumberFormat="0" applyFill="0" applyAlignment="0" applyProtection="0"/>
    <xf numFmtId="16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26" fillId="0" borderId="0"/>
    <xf numFmtId="0" fontId="26" fillId="0" borderId="0"/>
    <xf numFmtId="0" fontId="14" fillId="26" borderId="31" applyNumberFormat="0" applyFont="0" applyAlignment="0" applyProtection="0"/>
    <xf numFmtId="0" fontId="27" fillId="24" borderId="32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389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/>
    <xf numFmtId="0" fontId="10" fillId="0" borderId="0" xfId="0" applyFont="1"/>
    <xf numFmtId="0" fontId="0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 applyBorder="1"/>
    <xf numFmtId="4" fontId="3" fillId="0" borderId="0" xfId="0" applyNumberFormat="1" applyFont="1" applyBorder="1"/>
    <xf numFmtId="4" fontId="0" fillId="0" borderId="0" xfId="0" applyNumberFormat="1"/>
    <xf numFmtId="3" fontId="11" fillId="4" borderId="2" xfId="0" applyNumberFormat="1" applyFont="1" applyFill="1" applyBorder="1" applyAlignment="1">
      <alignment horizontal="center" vertical="center" wrapText="1"/>
    </xf>
    <xf numFmtId="3" fontId="11" fillId="4" borderId="2" xfId="0" applyNumberFormat="1" applyFont="1" applyFill="1" applyBorder="1" applyAlignment="1">
      <alignment horizontal="center" vertical="center" textRotation="90" wrapText="1"/>
    </xf>
    <xf numFmtId="3" fontId="12" fillId="0" borderId="9" xfId="0" applyNumberFormat="1" applyFont="1" applyBorder="1" applyAlignment="1">
      <alignment horizontal="center" vertical="center" wrapText="1"/>
    </xf>
    <xf numFmtId="0" fontId="0" fillId="2" borderId="0" xfId="0" applyFont="1" applyFill="1"/>
    <xf numFmtId="165" fontId="0" fillId="0" borderId="0" xfId="0" applyNumberFormat="1"/>
    <xf numFmtId="0" fontId="0" fillId="0" borderId="0" xfId="0" applyFont="1" applyBorder="1" applyAlignment="1">
      <alignment horizontal="center"/>
    </xf>
    <xf numFmtId="3" fontId="12" fillId="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/>
    <xf numFmtId="3" fontId="0" fillId="2" borderId="0" xfId="0" applyNumberFormat="1" applyFont="1" applyFill="1" applyBorder="1"/>
    <xf numFmtId="3" fontId="3" fillId="2" borderId="0" xfId="0" applyNumberFormat="1" applyFont="1" applyFill="1" applyBorder="1"/>
    <xf numFmtId="3" fontId="12" fillId="2" borderId="22" xfId="0" applyNumberFormat="1" applyFont="1" applyFill="1" applyBorder="1" applyAlignment="1">
      <alignment horizontal="center" vertical="center" wrapText="1"/>
    </xf>
    <xf numFmtId="0" fontId="13" fillId="0" borderId="0" xfId="0" applyFont="1"/>
    <xf numFmtId="165" fontId="8" fillId="0" borderId="0" xfId="0" applyNumberFormat="1" applyFont="1"/>
    <xf numFmtId="165" fontId="0" fillId="0" borderId="0" xfId="0" applyNumberFormat="1" applyFont="1"/>
    <xf numFmtId="4" fontId="8" fillId="0" borderId="0" xfId="0" applyNumberFormat="1" applyFont="1"/>
    <xf numFmtId="170" fontId="8" fillId="0" borderId="0" xfId="0" applyNumberFormat="1" applyFont="1"/>
    <xf numFmtId="170" fontId="13" fillId="0" borderId="0" xfId="0" applyNumberFormat="1" applyFont="1"/>
    <xf numFmtId="0" fontId="2" fillId="0" borderId="0" xfId="0" applyFont="1"/>
    <xf numFmtId="170" fontId="2" fillId="0" borderId="0" xfId="0" applyNumberFormat="1" applyFont="1"/>
    <xf numFmtId="3" fontId="12" fillId="0" borderId="22" xfId="0" applyNumberFormat="1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3" fontId="12" fillId="0" borderId="22" xfId="0" applyNumberFormat="1" applyFont="1" applyBorder="1" applyAlignment="1">
      <alignment horizontal="center" vertical="center" wrapText="1"/>
    </xf>
    <xf numFmtId="0" fontId="9" fillId="0" borderId="0" xfId="0" applyFont="1" applyAlignment="1"/>
    <xf numFmtId="3" fontId="9" fillId="0" borderId="0" xfId="0" applyNumberFormat="1" applyFont="1" applyAlignment="1"/>
    <xf numFmtId="0" fontId="3" fillId="2" borderId="0" xfId="0" applyFont="1" applyFill="1" applyBorder="1" applyAlignment="1"/>
    <xf numFmtId="0" fontId="3" fillId="0" borderId="1" xfId="0" applyFont="1" applyFill="1" applyBorder="1" applyAlignment="1"/>
    <xf numFmtId="3" fontId="1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3" fontId="12" fillId="0" borderId="3" xfId="0" applyNumberFormat="1" applyFont="1" applyBorder="1" applyAlignment="1">
      <alignment horizontal="left" vertical="center" wrapText="1"/>
    </xf>
    <xf numFmtId="167" fontId="12" fillId="0" borderId="3" xfId="0" applyNumberFormat="1" applyFont="1" applyBorder="1" applyAlignment="1">
      <alignment horizontal="center" vertical="center" wrapText="1"/>
    </xf>
    <xf numFmtId="3" fontId="12" fillId="2" borderId="3" xfId="0" applyNumberFormat="1" applyFont="1" applyFill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right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3" fillId="0" borderId="4" xfId="0" applyFont="1" applyFill="1" applyBorder="1" applyAlignment="1"/>
    <xf numFmtId="3" fontId="12" fillId="0" borderId="3" xfId="0" applyNumberFormat="1" applyFont="1" applyBorder="1" applyAlignment="1">
      <alignment horizontal="right" vertical="center" wrapText="1"/>
    </xf>
    <xf numFmtId="4" fontId="0" fillId="0" borderId="22" xfId="0" applyNumberFormat="1" applyFont="1" applyBorder="1" applyAlignment="1">
      <alignment horizontal="right" vertical="center"/>
    </xf>
    <xf numFmtId="3" fontId="12" fillId="0" borderId="22" xfId="0" applyNumberFormat="1" applyFont="1" applyFill="1" applyBorder="1" applyAlignment="1">
      <alignment horizontal="right" vertical="center" wrapText="1"/>
    </xf>
    <xf numFmtId="0" fontId="0" fillId="0" borderId="22" xfId="0" applyFont="1" applyBorder="1" applyAlignment="1">
      <alignment horizontal="center" vertical="center"/>
    </xf>
    <xf numFmtId="4" fontId="0" fillId="0" borderId="22" xfId="0" applyNumberFormat="1" applyFont="1" applyBorder="1" applyAlignment="1">
      <alignment horizontal="center" vertical="center"/>
    </xf>
    <xf numFmtId="3" fontId="11" fillId="2" borderId="0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3" fontId="12" fillId="0" borderId="0" xfId="0" applyNumberFormat="1" applyFont="1" applyAlignment="1">
      <alignment vertical="center" wrapText="1"/>
    </xf>
    <xf numFmtId="3" fontId="12" fillId="0" borderId="0" xfId="0" applyNumberFormat="1" applyFont="1" applyAlignment="1">
      <alignment vertical="center"/>
    </xf>
    <xf numFmtId="0" fontId="12" fillId="0" borderId="0" xfId="0" applyFont="1"/>
    <xf numFmtId="0" fontId="12" fillId="0" borderId="3" xfId="0" applyNumberFormat="1" applyFont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3" fontId="11" fillId="4" borderId="12" xfId="0" applyNumberFormat="1" applyFont="1" applyFill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 wrapText="1"/>
    </xf>
    <xf numFmtId="3" fontId="0" fillId="0" borderId="0" xfId="0" applyNumberFormat="1" applyFont="1"/>
    <xf numFmtId="4" fontId="0" fillId="0" borderId="0" xfId="0" applyNumberFormat="1" applyFont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2" fillId="0" borderId="0" xfId="0" applyFont="1" applyBorder="1" applyAlignment="1">
      <alignment horizontal="right"/>
    </xf>
    <xf numFmtId="3" fontId="0" fillId="2" borderId="3" xfId="0" applyNumberFormat="1" applyFont="1" applyFill="1" applyBorder="1" applyAlignment="1">
      <alignment horizontal="center" vertical="center" wrapText="1"/>
    </xf>
    <xf numFmtId="3" fontId="0" fillId="2" borderId="3" xfId="0" applyNumberFormat="1" applyFont="1" applyFill="1" applyBorder="1" applyAlignment="1">
      <alignment horizontal="left" vertical="center" wrapText="1"/>
    </xf>
    <xf numFmtId="0" fontId="0" fillId="2" borderId="3" xfId="0" applyNumberFormat="1" applyFont="1" applyFill="1" applyBorder="1" applyAlignment="1">
      <alignment horizontal="center" vertical="center" wrapText="1"/>
    </xf>
    <xf numFmtId="3" fontId="11" fillId="5" borderId="2" xfId="0" applyNumberFormat="1" applyFont="1" applyFill="1" applyBorder="1" applyAlignment="1">
      <alignment horizontal="center" vertical="center" wrapText="1"/>
    </xf>
    <xf numFmtId="4" fontId="0" fillId="2" borderId="0" xfId="0" applyNumberFormat="1" applyFont="1" applyFill="1"/>
    <xf numFmtId="0" fontId="12" fillId="0" borderId="3" xfId="0" applyFont="1" applyBorder="1" applyAlignment="1">
      <alignment vertical="center" wrapText="1"/>
    </xf>
    <xf numFmtId="3" fontId="12" fillId="0" borderId="22" xfId="0" applyNumberFormat="1" applyFont="1" applyBorder="1" applyAlignment="1">
      <alignment horizontal="left" vertical="center" wrapText="1"/>
    </xf>
    <xf numFmtId="3" fontId="12" fillId="2" borderId="0" xfId="0" applyNumberFormat="1" applyFont="1" applyFill="1" applyBorder="1" applyAlignment="1">
      <alignment horizontal="center" vertical="center" wrapText="1"/>
    </xf>
    <xf numFmtId="3" fontId="11" fillId="2" borderId="0" xfId="0" applyNumberFormat="1" applyFont="1" applyFill="1" applyBorder="1" applyAlignment="1">
      <alignment horizontal="center" vertical="center" wrapText="1"/>
    </xf>
    <xf numFmtId="3" fontId="31" fillId="0" borderId="3" xfId="0" applyNumberFormat="1" applyFont="1" applyBorder="1" applyAlignment="1">
      <alignment horizontal="center" vertical="center" wrapText="1"/>
    </xf>
    <xf numFmtId="3" fontId="12" fillId="0" borderId="19" xfId="0" applyNumberFormat="1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left" vertical="center" wrapText="1"/>
    </xf>
    <xf numFmtId="0" fontId="12" fillId="0" borderId="24" xfId="0" applyNumberFormat="1" applyFont="1" applyBorder="1" applyAlignment="1">
      <alignment horizontal="left" vertical="center" wrapText="1"/>
    </xf>
    <xf numFmtId="3" fontId="12" fillId="0" borderId="24" xfId="0" applyNumberFormat="1" applyFont="1" applyBorder="1" applyAlignment="1">
      <alignment horizontal="center" vertical="center" wrapText="1"/>
    </xf>
    <xf numFmtId="3" fontId="12" fillId="2" borderId="24" xfId="0" applyNumberFormat="1" applyFont="1" applyFill="1" applyBorder="1" applyAlignment="1">
      <alignment horizontal="center" vertical="center" wrapText="1"/>
    </xf>
    <xf numFmtId="3" fontId="12" fillId="0" borderId="24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center" wrapText="1"/>
    </xf>
    <xf numFmtId="3" fontId="12" fillId="0" borderId="0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3" fontId="12" fillId="2" borderId="22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4" fontId="12" fillId="0" borderId="22" xfId="0" applyNumberFormat="1" applyFont="1" applyBorder="1" applyAlignment="1">
      <alignment horizontal="right" vertical="center" wrapText="1"/>
    </xf>
    <xf numFmtId="3" fontId="12" fillId="0" borderId="22" xfId="0" applyNumberFormat="1" applyFont="1" applyBorder="1" applyAlignment="1">
      <alignment horizontal="right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3" fontId="0" fillId="2" borderId="22" xfId="0" applyNumberFormat="1" applyFont="1" applyFill="1" applyBorder="1" applyAlignment="1">
      <alignment horizontal="center" vertical="center" wrapText="1"/>
    </xf>
    <xf numFmtId="3" fontId="31" fillId="0" borderId="22" xfId="0" applyNumberFormat="1" applyFont="1" applyBorder="1" applyAlignment="1">
      <alignment horizontal="center" vertical="center" wrapText="1"/>
    </xf>
    <xf numFmtId="3" fontId="12" fillId="0" borderId="22" xfId="0" applyNumberFormat="1" applyFont="1" applyFill="1" applyBorder="1" applyAlignment="1">
      <alignment horizontal="center" vertical="center" wrapText="1"/>
    </xf>
    <xf numFmtId="4" fontId="12" fillId="2" borderId="22" xfId="0" applyNumberFormat="1" applyFont="1" applyFill="1" applyBorder="1" applyAlignment="1">
      <alignment horizontal="center" vertical="center" wrapText="1"/>
    </xf>
    <xf numFmtId="4" fontId="12" fillId="2" borderId="22" xfId="0" applyNumberFormat="1" applyFont="1" applyFill="1" applyBorder="1" applyAlignment="1">
      <alignment horizontal="right" vertical="center" wrapText="1"/>
    </xf>
    <xf numFmtId="4" fontId="12" fillId="0" borderId="22" xfId="0" applyNumberFormat="1" applyFont="1" applyFill="1" applyBorder="1" applyAlignment="1">
      <alignment horizontal="right" vertical="center" wrapText="1"/>
    </xf>
    <xf numFmtId="0" fontId="0" fillId="0" borderId="22" xfId="0" applyFont="1" applyBorder="1" applyAlignment="1">
      <alignment horizontal="right" vertical="center"/>
    </xf>
    <xf numFmtId="3" fontId="12" fillId="0" borderId="3" xfId="0" applyNumberFormat="1" applyFont="1" applyBorder="1" applyAlignment="1">
      <alignment vertical="center" wrapText="1"/>
    </xf>
    <xf numFmtId="3" fontId="12" fillId="0" borderId="22" xfId="0" applyNumberFormat="1" applyFont="1" applyBorder="1" applyAlignment="1">
      <alignment vertical="center" wrapText="1"/>
    </xf>
    <xf numFmtId="3" fontId="12" fillId="2" borderId="22" xfId="0" applyNumberFormat="1" applyFont="1" applyFill="1" applyBorder="1" applyAlignment="1">
      <alignment vertical="center" wrapText="1"/>
    </xf>
    <xf numFmtId="3" fontId="12" fillId="0" borderId="22" xfId="0" applyNumberFormat="1" applyFont="1" applyFill="1" applyBorder="1" applyAlignment="1">
      <alignment vertical="center" wrapText="1"/>
    </xf>
    <xf numFmtId="3" fontId="0" fillId="2" borderId="22" xfId="0" applyNumberFormat="1" applyFill="1" applyBorder="1" applyAlignment="1">
      <alignment vertical="center" wrapText="1"/>
    </xf>
    <xf numFmtId="3" fontId="0" fillId="2" borderId="3" xfId="0" applyNumberFormat="1" applyFont="1" applyFill="1" applyBorder="1" applyAlignment="1">
      <alignment horizontal="right" vertical="center" wrapText="1"/>
    </xf>
    <xf numFmtId="0" fontId="0" fillId="2" borderId="3" xfId="0" applyFill="1" applyBorder="1" applyAlignment="1">
      <alignment horizontal="left" vertical="center" wrapText="1"/>
    </xf>
    <xf numFmtId="3" fontId="0" fillId="2" borderId="3" xfId="0" applyNumberForma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3" fontId="12" fillId="0" borderId="34" xfId="0" applyNumberFormat="1" applyFont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 wrapText="1"/>
    </xf>
    <xf numFmtId="3" fontId="11" fillId="4" borderId="35" xfId="0" applyNumberFormat="1" applyFont="1" applyFill="1" applyBorder="1" applyAlignment="1">
      <alignment horizontal="center" vertical="center" wrapText="1"/>
    </xf>
    <xf numFmtId="3" fontId="11" fillId="4" borderId="35" xfId="0" applyNumberFormat="1" applyFont="1" applyFill="1" applyBorder="1" applyAlignment="1">
      <alignment horizontal="center" vertical="center" textRotation="90" wrapText="1"/>
    </xf>
    <xf numFmtId="3" fontId="12" fillId="0" borderId="34" xfId="0" applyNumberFormat="1" applyFont="1" applyBorder="1" applyAlignment="1">
      <alignment horizontal="right" vertical="center" wrapText="1"/>
    </xf>
    <xf numFmtId="4" fontId="12" fillId="0" borderId="34" xfId="0" applyNumberFormat="1" applyFont="1" applyBorder="1" applyAlignment="1">
      <alignment horizontal="right" vertical="center" wrapText="1"/>
    </xf>
    <xf numFmtId="3" fontId="12" fillId="0" borderId="34" xfId="0" applyNumberFormat="1" applyFont="1" applyBorder="1" applyAlignment="1">
      <alignment horizontal="left" vertical="center" wrapText="1"/>
    </xf>
    <xf numFmtId="3" fontId="12" fillId="0" borderId="22" xfId="0" applyNumberFormat="1" applyFont="1" applyFill="1" applyBorder="1" applyAlignment="1">
      <alignment horizontal="left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3" fontId="12" fillId="0" borderId="36" xfId="0" applyNumberFormat="1" applyFont="1" applyBorder="1" applyAlignment="1">
      <alignment horizontal="center" vertical="center" wrapText="1"/>
    </xf>
    <xf numFmtId="3" fontId="12" fillId="0" borderId="36" xfId="0" applyNumberFormat="1" applyFont="1" applyBorder="1" applyAlignment="1">
      <alignment horizontal="right" vertical="center" wrapText="1"/>
    </xf>
    <xf numFmtId="3" fontId="12" fillId="0" borderId="9" xfId="0" applyNumberFormat="1" applyFont="1" applyBorder="1" applyAlignment="1">
      <alignment horizontal="right" vertical="center" wrapText="1"/>
    </xf>
    <xf numFmtId="4" fontId="12" fillId="0" borderId="36" xfId="0" applyNumberFormat="1" applyFont="1" applyBorder="1" applyAlignment="1">
      <alignment horizontal="right" vertical="center" wrapText="1"/>
    </xf>
    <xf numFmtId="4" fontId="12" fillId="0" borderId="9" xfId="0" applyNumberFormat="1" applyFont="1" applyBorder="1" applyAlignment="1">
      <alignment horizontal="right" vertical="center" wrapText="1"/>
    </xf>
    <xf numFmtId="165" fontId="0" fillId="0" borderId="0" xfId="0" applyNumberFormat="1" applyFont="1" applyFill="1"/>
    <xf numFmtId="165" fontId="0" fillId="0" borderId="0" xfId="1" applyFont="1" applyFill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3" fontId="3" fillId="0" borderId="0" xfId="0" applyNumberFormat="1" applyFont="1" applyFill="1" applyBorder="1"/>
    <xf numFmtId="0" fontId="11" fillId="27" borderId="2" xfId="0" applyFont="1" applyFill="1" applyBorder="1" applyAlignment="1">
      <alignment horizontal="center" vertical="center" wrapText="1"/>
    </xf>
    <xf numFmtId="3" fontId="12" fillId="0" borderId="37" xfId="0" applyNumberFormat="1" applyFont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169" fontId="12" fillId="0" borderId="0" xfId="0" applyNumberFormat="1" applyFont="1" applyFill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center" vertical="center" wrapText="1"/>
    </xf>
    <xf numFmtId="3" fontId="11" fillId="4" borderId="38" xfId="0" applyNumberFormat="1" applyFont="1" applyFill="1" applyBorder="1" applyAlignment="1">
      <alignment horizontal="center" vertical="center" wrapText="1"/>
    </xf>
    <xf numFmtId="3" fontId="11" fillId="4" borderId="38" xfId="0" applyNumberFormat="1" applyFont="1" applyFill="1" applyBorder="1" applyAlignment="1">
      <alignment horizontal="center" vertical="center" textRotation="90" wrapText="1"/>
    </xf>
    <xf numFmtId="3" fontId="12" fillId="0" borderId="9" xfId="0" applyNumberFormat="1" applyFont="1" applyFill="1" applyBorder="1" applyAlignment="1">
      <alignment horizontal="right" vertical="center" wrapText="1"/>
    </xf>
    <xf numFmtId="0" fontId="11" fillId="3" borderId="39" xfId="0" applyFont="1" applyFill="1" applyBorder="1" applyAlignment="1">
      <alignment horizontal="center" vertical="center" wrapText="1"/>
    </xf>
    <xf numFmtId="3" fontId="11" fillId="4" borderId="39" xfId="0" applyNumberFormat="1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left" vertical="center" wrapText="1"/>
    </xf>
    <xf numFmtId="3" fontId="12" fillId="0" borderId="24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left" vertical="center"/>
    </xf>
    <xf numFmtId="0" fontId="0" fillId="0" borderId="22" xfId="0" applyBorder="1" applyAlignment="1">
      <alignment horizontal="left" vertical="center" wrapText="1"/>
    </xf>
    <xf numFmtId="3" fontId="0" fillId="0" borderId="0" xfId="0" applyNumberFormat="1" applyFont="1" applyFill="1" applyBorder="1"/>
    <xf numFmtId="3" fontId="12" fillId="2" borderId="3" xfId="0" applyNumberFormat="1" applyFont="1" applyFill="1" applyBorder="1" applyAlignment="1">
      <alignment horizontal="left" vertical="center" wrapText="1"/>
    </xf>
    <xf numFmtId="3" fontId="12" fillId="2" borderId="3" xfId="0" applyNumberFormat="1" applyFont="1" applyFill="1" applyBorder="1" applyAlignment="1">
      <alignment horizontal="right" vertical="center" wrapText="1"/>
    </xf>
    <xf numFmtId="3" fontId="12" fillId="2" borderId="22" xfId="0" applyNumberFormat="1" applyFont="1" applyFill="1" applyBorder="1" applyAlignment="1">
      <alignment horizontal="right" vertical="center" wrapText="1"/>
    </xf>
    <xf numFmtId="4" fontId="12" fillId="2" borderId="22" xfId="2" applyNumberFormat="1" applyFont="1" applyFill="1" applyBorder="1" applyAlignment="1">
      <alignment horizontal="right" vertical="center" wrapText="1"/>
    </xf>
    <xf numFmtId="4" fontId="12" fillId="2" borderId="3" xfId="0" applyNumberFormat="1" applyFont="1" applyFill="1" applyBorder="1" applyAlignment="1">
      <alignment horizontal="right" vertical="center" wrapText="1"/>
    </xf>
    <xf numFmtId="4" fontId="12" fillId="0" borderId="22" xfId="0" applyNumberFormat="1" applyFont="1" applyBorder="1" applyAlignment="1">
      <alignment vertical="center" wrapText="1"/>
    </xf>
    <xf numFmtId="4" fontId="12" fillId="0" borderId="3" xfId="0" applyNumberFormat="1" applyFont="1" applyBorder="1" applyAlignment="1">
      <alignment vertical="center" wrapText="1"/>
    </xf>
    <xf numFmtId="4" fontId="0" fillId="2" borderId="22" xfId="0" applyNumberFormat="1" applyFont="1" applyFill="1" applyBorder="1" applyAlignment="1">
      <alignment vertical="center" wrapText="1"/>
    </xf>
    <xf numFmtId="3" fontId="0" fillId="2" borderId="22" xfId="0" applyNumberFormat="1" applyFont="1" applyFill="1" applyBorder="1" applyAlignment="1">
      <alignment vertical="center" wrapText="1"/>
    </xf>
    <xf numFmtId="4" fontId="12" fillId="2" borderId="22" xfId="0" applyNumberFormat="1" applyFont="1" applyFill="1" applyBorder="1" applyAlignment="1">
      <alignment vertical="center" wrapText="1"/>
    </xf>
    <xf numFmtId="4" fontId="31" fillId="0" borderId="22" xfId="0" applyNumberFormat="1" applyFont="1" applyBorder="1" applyAlignment="1">
      <alignment vertical="center" wrapText="1"/>
    </xf>
    <xf numFmtId="4" fontId="0" fillId="0" borderId="22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4" fontId="12" fillId="0" borderId="22" xfId="0" applyNumberFormat="1" applyFont="1" applyFill="1" applyBorder="1" applyAlignment="1">
      <alignment vertical="center" wrapText="1"/>
    </xf>
    <xf numFmtId="0" fontId="12" fillId="0" borderId="34" xfId="0" applyFont="1" applyBorder="1" applyAlignment="1">
      <alignment horizontal="left" vertical="center" wrapText="1"/>
    </xf>
    <xf numFmtId="3" fontId="12" fillId="2" borderId="34" xfId="0" applyNumberFormat="1" applyFont="1" applyFill="1" applyBorder="1" applyAlignment="1">
      <alignment horizontal="center" vertical="center" wrapText="1"/>
    </xf>
    <xf numFmtId="3" fontId="12" fillId="0" borderId="34" xfId="0" applyNumberFormat="1" applyFont="1" applyFill="1" applyBorder="1" applyAlignment="1">
      <alignment horizontal="center" vertical="center" wrapText="1"/>
    </xf>
    <xf numFmtId="0" fontId="12" fillId="0" borderId="34" xfId="0" applyNumberFormat="1" applyFont="1" applyFill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3" fontId="12" fillId="0" borderId="22" xfId="0" applyNumberFormat="1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 wrapText="1"/>
    </xf>
    <xf numFmtId="3" fontId="12" fillId="2" borderId="3" xfId="0" applyNumberFormat="1" applyFont="1" applyFill="1" applyBorder="1" applyAlignment="1">
      <alignment vertical="center" wrapText="1"/>
    </xf>
    <xf numFmtId="0" fontId="12" fillId="2" borderId="3" xfId="0" applyNumberFormat="1" applyFont="1" applyFill="1" applyBorder="1" applyAlignment="1">
      <alignment vertical="center" wrapText="1"/>
    </xf>
    <xf numFmtId="0" fontId="12" fillId="0" borderId="36" xfId="0" applyNumberFormat="1" applyFont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0" fontId="11" fillId="2" borderId="0" xfId="0" applyFont="1" applyFill="1" applyBorder="1" applyAlignment="1"/>
    <xf numFmtId="0" fontId="11" fillId="2" borderId="2" xfId="0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3" fontId="12" fillId="2" borderId="37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3" fontId="12" fillId="2" borderId="9" xfId="0" applyNumberFormat="1" applyFont="1" applyFill="1" applyBorder="1" applyAlignment="1">
      <alignment horizontal="center" vertical="center" wrapText="1"/>
    </xf>
    <xf numFmtId="3" fontId="12" fillId="0" borderId="22" xfId="0" applyNumberFormat="1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left" vertical="center" wrapText="1"/>
    </xf>
    <xf numFmtId="3" fontId="12" fillId="0" borderId="22" xfId="0" applyNumberFormat="1" applyFont="1" applyBorder="1" applyAlignment="1">
      <alignment horizontal="center" vertical="center" wrapText="1"/>
    </xf>
    <xf numFmtId="3" fontId="12" fillId="0" borderId="34" xfId="0" applyNumberFormat="1" applyFont="1" applyBorder="1" applyAlignment="1">
      <alignment horizontal="left" vertical="center" wrapText="1"/>
    </xf>
    <xf numFmtId="3" fontId="12" fillId="0" borderId="3" xfId="0" applyNumberFormat="1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28" borderId="0" xfId="0" applyFont="1" applyFill="1"/>
    <xf numFmtId="3" fontId="12" fillId="0" borderId="36" xfId="0" applyNumberFormat="1" applyFont="1" applyFill="1" applyBorder="1" applyAlignment="1">
      <alignment horizontal="left" vertical="center" wrapText="1"/>
    </xf>
    <xf numFmtId="3" fontId="12" fillId="0" borderId="9" xfId="0" applyNumberFormat="1" applyFont="1" applyFill="1" applyBorder="1" applyAlignment="1">
      <alignment horizontal="left" vertical="center" wrapText="1"/>
    </xf>
    <xf numFmtId="171" fontId="12" fillId="2" borderId="22" xfId="1" applyNumberFormat="1" applyFont="1" applyFill="1" applyBorder="1" applyAlignment="1">
      <alignment horizontal="right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3" fontId="12" fillId="0" borderId="36" xfId="0" applyNumberFormat="1" applyFont="1" applyBorder="1" applyAlignment="1">
      <alignment horizontal="center" vertical="center" wrapText="1"/>
    </xf>
    <xf numFmtId="3" fontId="0" fillId="0" borderId="0" xfId="0" applyNumberFormat="1" applyFont="1" applyFill="1"/>
    <xf numFmtId="4" fontId="0" fillId="0" borderId="0" xfId="0" applyNumberFormat="1" applyFont="1" applyFill="1"/>
    <xf numFmtId="3" fontId="12" fillId="0" borderId="0" xfId="0" applyNumberFormat="1" applyFont="1" applyBorder="1" applyAlignment="1">
      <alignment horizontal="justify" vertical="center" wrapText="1"/>
    </xf>
    <xf numFmtId="3" fontId="12" fillId="0" borderId="0" xfId="0" applyNumberFormat="1" applyFont="1" applyBorder="1" applyAlignment="1">
      <alignment vertical="center"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170" fontId="12" fillId="2" borderId="22" xfId="1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/>
    <xf numFmtId="3" fontId="0" fillId="0" borderId="0" xfId="0" applyNumberFormat="1"/>
    <xf numFmtId="2" fontId="0" fillId="0" borderId="0" xfId="0" applyNumberFormat="1" applyFont="1"/>
    <xf numFmtId="0" fontId="0" fillId="2" borderId="22" xfId="0" applyFont="1" applyFill="1" applyBorder="1" applyAlignment="1">
      <alignment horizontal="center" vertical="center" wrapText="1"/>
    </xf>
    <xf numFmtId="4" fontId="0" fillId="2" borderId="22" xfId="0" applyNumberFormat="1" applyFont="1" applyFill="1" applyBorder="1" applyAlignment="1">
      <alignment horizontal="right" vertical="center"/>
    </xf>
    <xf numFmtId="3" fontId="12" fillId="2" borderId="22" xfId="0" applyNumberFormat="1" applyFont="1" applyFill="1" applyBorder="1" applyAlignment="1">
      <alignment horizontal="right" vertical="center"/>
    </xf>
    <xf numFmtId="168" fontId="12" fillId="2" borderId="22" xfId="0" applyNumberFormat="1" applyFont="1" applyFill="1" applyBorder="1" applyAlignment="1">
      <alignment vertical="center" wrapText="1"/>
    </xf>
    <xf numFmtId="3" fontId="12" fillId="2" borderId="34" xfId="0" applyNumberFormat="1" applyFont="1" applyFill="1" applyBorder="1" applyAlignment="1">
      <alignment horizontal="right" vertical="center" wrapText="1"/>
    </xf>
    <xf numFmtId="3" fontId="11" fillId="2" borderId="22" xfId="0" applyNumberFormat="1" applyFont="1" applyFill="1" applyBorder="1" applyAlignment="1">
      <alignment horizontal="center" vertical="center" wrapText="1"/>
    </xf>
    <xf numFmtId="3" fontId="11" fillId="2" borderId="9" xfId="0" applyNumberFormat="1" applyFont="1" applyFill="1" applyBorder="1" applyAlignment="1">
      <alignment horizontal="left" vertical="center" wrapText="1"/>
    </xf>
    <xf numFmtId="4" fontId="11" fillId="2" borderId="22" xfId="0" applyNumberFormat="1" applyFont="1" applyFill="1" applyBorder="1" applyAlignment="1">
      <alignment horizontal="right" vertical="center" wrapText="1"/>
    </xf>
    <xf numFmtId="3" fontId="11" fillId="2" borderId="22" xfId="0" applyNumberFormat="1" applyFont="1" applyFill="1" applyBorder="1" applyAlignment="1">
      <alignment horizontal="right" vertical="center" wrapText="1"/>
    </xf>
    <xf numFmtId="3" fontId="12" fillId="2" borderId="9" xfId="0" applyNumberFormat="1" applyFont="1" applyFill="1" applyBorder="1" applyAlignment="1">
      <alignment horizontal="right" vertical="center" wrapText="1"/>
    </xf>
    <xf numFmtId="3" fontId="0" fillId="2" borderId="0" xfId="0" applyNumberFormat="1" applyFont="1" applyFill="1"/>
    <xf numFmtId="3" fontId="0" fillId="2" borderId="22" xfId="0" applyNumberFormat="1" applyFont="1" applyFill="1" applyBorder="1" applyAlignment="1">
      <alignment horizontal="right" vertical="center" wrapText="1"/>
    </xf>
    <xf numFmtId="3" fontId="12" fillId="2" borderId="22" xfId="2" applyNumberFormat="1" applyFont="1" applyFill="1" applyBorder="1" applyAlignment="1">
      <alignment horizontal="right" vertical="center" wrapText="1"/>
    </xf>
    <xf numFmtId="4" fontId="2" fillId="0" borderId="0" xfId="0" applyNumberFormat="1" applyFont="1"/>
    <xf numFmtId="3" fontId="2" fillId="0" borderId="9" xfId="0" applyNumberFormat="1" applyFont="1" applyBorder="1" applyAlignment="1">
      <alignment horizontal="right" vertical="center" wrapText="1"/>
    </xf>
    <xf numFmtId="0" fontId="11" fillId="2" borderId="2" xfId="0" applyFont="1" applyFill="1" applyBorder="1" applyAlignment="1">
      <alignment horizontal="center" vertical="center" wrapText="1"/>
    </xf>
    <xf numFmtId="3" fontId="12" fillId="0" borderId="22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left" vertical="center" wrapText="1"/>
    </xf>
    <xf numFmtId="0" fontId="11" fillId="3" borderId="38" xfId="0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3" fontId="12" fillId="0" borderId="36" xfId="0" applyNumberFormat="1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 wrapText="1"/>
    </xf>
    <xf numFmtId="0" fontId="11" fillId="27" borderId="2" xfId="0" applyFont="1" applyFill="1" applyBorder="1" applyAlignment="1">
      <alignment horizontal="center" vertical="center" wrapText="1"/>
    </xf>
    <xf numFmtId="3" fontId="12" fillId="0" borderId="34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3" fontId="12" fillId="2" borderId="3" xfId="0" applyNumberFormat="1" applyFont="1" applyFill="1" applyBorder="1" applyAlignment="1">
      <alignment horizontal="center" vertical="center" wrapText="1"/>
    </xf>
    <xf numFmtId="3" fontId="12" fillId="2" borderId="22" xfId="0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3" fontId="12" fillId="0" borderId="33" xfId="0" applyNumberFormat="1" applyFont="1" applyBorder="1" applyAlignment="1">
      <alignment horizontal="center" vertical="center" wrapText="1"/>
    </xf>
    <xf numFmtId="3" fontId="12" fillId="2" borderId="22" xfId="0" applyNumberFormat="1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3" fontId="12" fillId="0" borderId="22" xfId="0" applyNumberFormat="1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/>
    </xf>
    <xf numFmtId="0" fontId="36" fillId="5" borderId="42" xfId="40" applyFont="1" applyFill="1" applyBorder="1" applyAlignment="1">
      <alignment horizontal="center" vertical="center"/>
    </xf>
    <xf numFmtId="0" fontId="36" fillId="5" borderId="42" xfId="40" applyFont="1" applyFill="1" applyBorder="1" applyAlignment="1">
      <alignment horizontal="center" wrapText="1"/>
    </xf>
    <xf numFmtId="0" fontId="37" fillId="5" borderId="42" xfId="40" applyFont="1" applyFill="1" applyBorder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5" fillId="2" borderId="43" xfId="0" applyFont="1" applyFill="1" applyBorder="1"/>
    <xf numFmtId="4" fontId="35" fillId="2" borderId="44" xfId="0" applyNumberFormat="1" applyFont="1" applyFill="1" applyBorder="1"/>
    <xf numFmtId="9" fontId="0" fillId="2" borderId="45" xfId="0" applyNumberFormat="1" applyFill="1" applyBorder="1" applyAlignment="1">
      <alignment horizontal="center"/>
    </xf>
    <xf numFmtId="165" fontId="3" fillId="0" borderId="0" xfId="1" applyFont="1"/>
    <xf numFmtId="4" fontId="0" fillId="2" borderId="44" xfId="0" applyNumberFormat="1" applyFill="1" applyBorder="1"/>
    <xf numFmtId="165" fontId="0" fillId="0" borderId="0" xfId="1" applyFont="1"/>
    <xf numFmtId="0" fontId="0" fillId="2" borderId="0" xfId="0" applyFill="1" applyBorder="1"/>
    <xf numFmtId="0" fontId="35" fillId="5" borderId="46" xfId="0" applyFont="1" applyFill="1" applyBorder="1"/>
    <xf numFmtId="4" fontId="35" fillId="5" borderId="47" xfId="0" applyNumberFormat="1" applyFont="1" applyFill="1" applyBorder="1"/>
    <xf numFmtId="9" fontId="35" fillId="5" borderId="48" xfId="0" applyNumberFormat="1" applyFont="1" applyFill="1" applyBorder="1" applyAlignment="1">
      <alignment horizontal="center"/>
    </xf>
    <xf numFmtId="0" fontId="35" fillId="0" borderId="0" xfId="0" applyFont="1"/>
    <xf numFmtId="3" fontId="12" fillId="2" borderId="33" xfId="0" applyNumberFormat="1" applyFont="1" applyFill="1" applyBorder="1" applyAlignment="1">
      <alignment horizontal="left" vertical="center" wrapText="1"/>
    </xf>
    <xf numFmtId="3" fontId="12" fillId="2" borderId="33" xfId="0" applyNumberFormat="1" applyFont="1" applyFill="1" applyBorder="1" applyAlignment="1">
      <alignment horizontal="center" vertical="center" wrapText="1"/>
    </xf>
    <xf numFmtId="4" fontId="12" fillId="2" borderId="33" xfId="0" applyNumberFormat="1" applyFont="1" applyFill="1" applyBorder="1" applyAlignment="1">
      <alignment horizontal="right" vertical="center" wrapText="1"/>
    </xf>
    <xf numFmtId="3" fontId="12" fillId="2" borderId="33" xfId="0" applyNumberFormat="1" applyFont="1" applyFill="1" applyBorder="1" applyAlignment="1">
      <alignment horizontal="right" vertical="center" wrapText="1"/>
    </xf>
    <xf numFmtId="3" fontId="12" fillId="0" borderId="33" xfId="0" applyNumberFormat="1" applyFont="1" applyBorder="1" applyAlignment="1">
      <alignment horizontal="right" vertical="center" wrapText="1"/>
    </xf>
    <xf numFmtId="3" fontId="12" fillId="0" borderId="56" xfId="0" applyNumberFormat="1" applyFont="1" applyBorder="1" applyAlignment="1">
      <alignment horizontal="center" vertical="center" wrapText="1"/>
    </xf>
    <xf numFmtId="3" fontId="12" fillId="0" borderId="57" xfId="0" applyNumberFormat="1" applyFont="1" applyBorder="1" applyAlignment="1">
      <alignment horizontal="center" vertical="center" wrapText="1"/>
    </xf>
    <xf numFmtId="3" fontId="12" fillId="2" borderId="57" xfId="0" applyNumberFormat="1" applyFont="1" applyFill="1" applyBorder="1" applyAlignment="1">
      <alignment horizontal="center" vertical="center" wrapText="1"/>
    </xf>
    <xf numFmtId="3" fontId="12" fillId="0" borderId="60" xfId="0" applyNumberFormat="1" applyFont="1" applyBorder="1" applyAlignment="1">
      <alignment horizontal="center" vertical="center" wrapText="1"/>
    </xf>
    <xf numFmtId="3" fontId="12" fillId="2" borderId="60" xfId="0" applyNumberFormat="1" applyFont="1" applyFill="1" applyBorder="1" applyAlignment="1">
      <alignment horizontal="center" vertical="center" wrapText="1"/>
    </xf>
    <xf numFmtId="171" fontId="12" fillId="2" borderId="33" xfId="1" applyNumberFormat="1" applyFont="1" applyFill="1" applyBorder="1" applyAlignment="1">
      <alignment horizontal="right" vertical="center" wrapText="1"/>
    </xf>
    <xf numFmtId="3" fontId="11" fillId="4" borderId="12" xfId="0" applyNumberFormat="1" applyFont="1" applyFill="1" applyBorder="1" applyAlignment="1">
      <alignment horizontal="center" vertical="center" textRotation="90" wrapText="1"/>
    </xf>
    <xf numFmtId="3" fontId="12" fillId="2" borderId="34" xfId="0" applyNumberFormat="1" applyFont="1" applyFill="1" applyBorder="1" applyAlignment="1">
      <alignment horizontal="left" vertical="center" wrapText="1"/>
    </xf>
    <xf numFmtId="4" fontId="12" fillId="2" borderId="34" xfId="0" applyNumberFormat="1" applyFont="1" applyFill="1" applyBorder="1" applyAlignment="1">
      <alignment horizontal="right" vertical="center" wrapText="1"/>
    </xf>
    <xf numFmtId="3" fontId="12" fillId="0" borderId="6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3" fontId="12" fillId="2" borderId="22" xfId="0" applyNumberFormat="1" applyFont="1" applyFill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left" vertical="center" wrapText="1"/>
    </xf>
    <xf numFmtId="3" fontId="12" fillId="0" borderId="3" xfId="0" applyNumberFormat="1" applyFont="1" applyBorder="1" applyAlignment="1">
      <alignment horizontal="justify" vertical="center" wrapText="1"/>
    </xf>
    <xf numFmtId="3" fontId="11" fillId="2" borderId="22" xfId="0" applyNumberFormat="1" applyFont="1" applyFill="1" applyBorder="1" applyAlignment="1">
      <alignment horizontal="justify" vertical="center" wrapText="1"/>
    </xf>
    <xf numFmtId="3" fontId="0" fillId="0" borderId="22" xfId="0" applyNumberFormat="1" applyBorder="1" applyAlignment="1">
      <alignment horizontal="justify" vertical="center" wrapText="1"/>
    </xf>
    <xf numFmtId="3" fontId="3" fillId="0" borderId="22" xfId="0" applyNumberFormat="1" applyFont="1" applyBorder="1" applyAlignment="1">
      <alignment horizontal="justify" vertical="center" wrapText="1"/>
    </xf>
    <xf numFmtId="0" fontId="30" fillId="0" borderId="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3" fontId="12" fillId="0" borderId="34" xfId="0" applyNumberFormat="1" applyFont="1" applyBorder="1" applyAlignment="1">
      <alignment horizontal="justify" vertical="center" wrapText="1"/>
    </xf>
    <xf numFmtId="3" fontId="12" fillId="0" borderId="22" xfId="0" applyNumberFormat="1" applyFont="1" applyBorder="1" applyAlignment="1">
      <alignment horizontal="justify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" fontId="12" fillId="0" borderId="22" xfId="0" applyNumberFormat="1" applyFont="1" applyBorder="1" applyAlignment="1">
      <alignment horizontal="center" vertical="center" wrapText="1"/>
    </xf>
    <xf numFmtId="3" fontId="12" fillId="0" borderId="23" xfId="0" applyNumberFormat="1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 wrapText="1"/>
    </xf>
    <xf numFmtId="3" fontId="12" fillId="0" borderId="33" xfId="0" applyNumberFormat="1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/>
    </xf>
    <xf numFmtId="3" fontId="12" fillId="0" borderId="3" xfId="0" applyNumberFormat="1" applyFont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/>
    </xf>
    <xf numFmtId="3" fontId="12" fillId="0" borderId="40" xfId="0" applyNumberFormat="1" applyFont="1" applyBorder="1" applyAlignment="1">
      <alignment horizontal="left" vertical="center" wrapText="1"/>
    </xf>
    <xf numFmtId="3" fontId="12" fillId="0" borderId="41" xfId="0" applyNumberFormat="1" applyFont="1" applyBorder="1" applyAlignment="1">
      <alignment horizontal="left" vertical="center" wrapText="1"/>
    </xf>
    <xf numFmtId="3" fontId="12" fillId="0" borderId="11" xfId="0" applyNumberFormat="1" applyFont="1" applyBorder="1" applyAlignment="1">
      <alignment horizontal="left" vertical="center" wrapText="1"/>
    </xf>
    <xf numFmtId="3" fontId="12" fillId="0" borderId="20" xfId="0" applyNumberFormat="1" applyFont="1" applyBorder="1" applyAlignment="1">
      <alignment horizontal="left" vertical="center" wrapText="1"/>
    </xf>
    <xf numFmtId="3" fontId="12" fillId="0" borderId="21" xfId="0" applyNumberFormat="1" applyFont="1" applyBorder="1" applyAlignment="1">
      <alignment horizontal="left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2" fillId="0" borderId="24" xfId="0" applyNumberFormat="1" applyFont="1" applyBorder="1" applyAlignment="1">
      <alignment horizontal="left" vertical="center" wrapText="1"/>
    </xf>
    <xf numFmtId="3" fontId="12" fillId="0" borderId="7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0" fillId="0" borderId="22" xfId="0" applyFont="1" applyBorder="1" applyAlignment="1">
      <alignment horizontal="justify" vertical="center" wrapText="1"/>
    </xf>
    <xf numFmtId="3" fontId="11" fillId="3" borderId="39" xfId="0" applyNumberFormat="1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justify" vertical="center" wrapText="1"/>
    </xf>
    <xf numFmtId="3" fontId="12" fillId="0" borderId="3" xfId="0" applyNumberFormat="1" applyFont="1" applyBorder="1" applyAlignment="1">
      <alignment horizontal="left" vertical="center" wrapText="1"/>
    </xf>
    <xf numFmtId="0" fontId="11" fillId="3" borderId="38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justify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3" fontId="12" fillId="2" borderId="11" xfId="0" applyNumberFormat="1" applyFont="1" applyFill="1" applyBorder="1" applyAlignment="1">
      <alignment horizontal="left" vertical="center" wrapText="1"/>
    </xf>
    <xf numFmtId="3" fontId="12" fillId="2" borderId="20" xfId="0" applyNumberFormat="1" applyFont="1" applyFill="1" applyBorder="1" applyAlignment="1">
      <alignment horizontal="left" vertical="center" wrapText="1"/>
    </xf>
    <xf numFmtId="3" fontId="12" fillId="2" borderId="21" xfId="0" applyNumberFormat="1" applyFont="1" applyFill="1" applyBorder="1" applyAlignment="1">
      <alignment horizontal="left" vertical="center" wrapText="1"/>
    </xf>
    <xf numFmtId="3" fontId="12" fillId="0" borderId="36" xfId="0" applyNumberFormat="1" applyFont="1" applyBorder="1" applyAlignment="1">
      <alignment horizontal="justify" vertical="center" wrapText="1"/>
    </xf>
    <xf numFmtId="3" fontId="12" fillId="0" borderId="36" xfId="0" applyNumberFormat="1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/>
    </xf>
    <xf numFmtId="0" fontId="11" fillId="27" borderId="2" xfId="0" applyFont="1" applyFill="1" applyBorder="1" applyAlignment="1">
      <alignment horizontal="center" vertical="center" wrapText="1"/>
    </xf>
    <xf numFmtId="3" fontId="11" fillId="27" borderId="2" xfId="0" applyNumberFormat="1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3" fontId="12" fillId="0" borderId="34" xfId="0" applyNumberFormat="1" applyFont="1" applyBorder="1" applyAlignment="1">
      <alignment horizontal="left" vertical="center" wrapText="1"/>
    </xf>
    <xf numFmtId="3" fontId="0" fillId="2" borderId="11" xfId="0" applyNumberFormat="1" applyFill="1" applyBorder="1" applyAlignment="1">
      <alignment horizontal="left" vertical="center" wrapText="1"/>
    </xf>
    <xf numFmtId="3" fontId="0" fillId="2" borderId="20" xfId="0" applyNumberFormat="1" applyFont="1" applyFill="1" applyBorder="1" applyAlignment="1">
      <alignment horizontal="left" vertical="center" wrapText="1"/>
    </xf>
    <xf numFmtId="3" fontId="0" fillId="2" borderId="21" xfId="0" applyNumberFormat="1" applyFont="1" applyFill="1" applyBorder="1" applyAlignment="1">
      <alignment horizontal="left" vertical="center" wrapText="1"/>
    </xf>
    <xf numFmtId="3" fontId="11" fillId="3" borderId="12" xfId="0" applyNumberFormat="1" applyFont="1" applyFill="1" applyBorder="1" applyAlignment="1">
      <alignment horizontal="center" vertical="center" wrapText="1"/>
    </xf>
    <xf numFmtId="3" fontId="11" fillId="3" borderId="18" xfId="0" applyNumberFormat="1" applyFont="1" applyFill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justify" vertical="center" wrapText="1"/>
    </xf>
    <xf numFmtId="3" fontId="11" fillId="3" borderId="10" xfId="0" applyNumberFormat="1" applyFont="1" applyFill="1" applyBorder="1" applyAlignment="1">
      <alignment horizontal="center" vertical="center" wrapText="1"/>
    </xf>
    <xf numFmtId="3" fontId="11" fillId="3" borderId="13" xfId="0" applyNumberFormat="1" applyFont="1" applyFill="1" applyBorder="1" applyAlignment="1">
      <alignment horizontal="center" vertical="center" wrapText="1"/>
    </xf>
    <xf numFmtId="3" fontId="11" fillId="3" borderId="14" xfId="0" applyNumberFormat="1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justify" vertical="center" wrapText="1"/>
    </xf>
    <xf numFmtId="3" fontId="34" fillId="0" borderId="3" xfId="0" applyNumberFormat="1" applyFont="1" applyBorder="1" applyAlignment="1">
      <alignment horizontal="center" vertical="center" wrapText="1"/>
    </xf>
    <xf numFmtId="3" fontId="12" fillId="2" borderId="3" xfId="0" applyNumberFormat="1" applyFont="1" applyFill="1" applyBorder="1" applyAlignment="1">
      <alignment horizontal="justify" vertical="center" wrapText="1"/>
    </xf>
    <xf numFmtId="3" fontId="12" fillId="2" borderId="22" xfId="0" applyNumberFormat="1" applyFont="1" applyFill="1" applyBorder="1" applyAlignment="1">
      <alignment horizontal="justify" vertical="center" wrapText="1"/>
    </xf>
    <xf numFmtId="0" fontId="0" fillId="2" borderId="22" xfId="0" applyFill="1" applyBorder="1" applyAlignment="1">
      <alignment horizontal="justify" vertical="center" wrapText="1"/>
    </xf>
    <xf numFmtId="0" fontId="0" fillId="2" borderId="22" xfId="0" applyFont="1" applyFill="1" applyBorder="1" applyAlignment="1">
      <alignment horizontal="justify" vertical="center" wrapText="1"/>
    </xf>
    <xf numFmtId="3" fontId="12" fillId="2" borderId="3" xfId="0" applyNumberFormat="1" applyFont="1" applyFill="1" applyBorder="1" applyAlignment="1">
      <alignment horizontal="center" vertical="center" wrapText="1"/>
    </xf>
    <xf numFmtId="3" fontId="12" fillId="2" borderId="2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 horizontal="center"/>
    </xf>
    <xf numFmtId="0" fontId="35" fillId="0" borderId="0" xfId="0" applyFont="1" applyAlignment="1">
      <alignment horizontal="left" wrapText="1"/>
    </xf>
    <xf numFmtId="0" fontId="35" fillId="0" borderId="0" xfId="0" applyFont="1" applyAlignment="1">
      <alignment horizontal="center"/>
    </xf>
    <xf numFmtId="3" fontId="12" fillId="0" borderId="51" xfId="0" applyNumberFormat="1" applyFont="1" applyBorder="1" applyAlignment="1">
      <alignment horizontal="left" vertical="center" wrapText="1"/>
    </xf>
    <xf numFmtId="3" fontId="12" fillId="0" borderId="52" xfId="0" applyNumberFormat="1" applyFont="1" applyBorder="1" applyAlignment="1">
      <alignment horizontal="left" vertical="center" wrapText="1"/>
    </xf>
    <xf numFmtId="3" fontId="12" fillId="0" borderId="33" xfId="0" applyNumberFormat="1" applyFont="1" applyBorder="1" applyAlignment="1">
      <alignment horizontal="justify" vertical="center" wrapText="1"/>
    </xf>
    <xf numFmtId="3" fontId="12" fillId="0" borderId="49" xfId="0" applyNumberFormat="1" applyFont="1" applyBorder="1" applyAlignment="1">
      <alignment horizontal="center" vertical="center" wrapText="1"/>
    </xf>
    <xf numFmtId="3" fontId="12" fillId="0" borderId="50" xfId="0" applyNumberFormat="1" applyFont="1" applyBorder="1" applyAlignment="1">
      <alignment horizontal="center" vertical="center" wrapText="1"/>
    </xf>
    <xf numFmtId="3" fontId="12" fillId="0" borderId="51" xfId="0" applyNumberFormat="1" applyFont="1" applyBorder="1" applyAlignment="1">
      <alignment horizontal="center" vertical="center" wrapText="1"/>
    </xf>
    <xf numFmtId="3" fontId="12" fillId="0" borderId="52" xfId="0" applyNumberFormat="1" applyFont="1" applyBorder="1" applyAlignment="1">
      <alignment horizontal="center" vertical="center" wrapText="1"/>
    </xf>
    <xf numFmtId="3" fontId="12" fillId="0" borderId="58" xfId="0" applyNumberFormat="1" applyFont="1" applyBorder="1" applyAlignment="1">
      <alignment horizontal="center" vertical="center" wrapText="1"/>
    </xf>
    <xf numFmtId="3" fontId="12" fillId="0" borderId="59" xfId="0" applyNumberFormat="1" applyFont="1" applyBorder="1" applyAlignment="1">
      <alignment horizontal="center" vertical="center" wrapText="1"/>
    </xf>
    <xf numFmtId="3" fontId="12" fillId="0" borderId="54" xfId="0" applyNumberFormat="1" applyFont="1" applyBorder="1" applyAlignment="1">
      <alignment horizontal="center" vertical="center" wrapText="1"/>
    </xf>
    <xf numFmtId="3" fontId="12" fillId="0" borderId="55" xfId="0" applyNumberFormat="1" applyFont="1" applyBorder="1" applyAlignment="1">
      <alignment horizontal="center" vertical="center" wrapText="1"/>
    </xf>
    <xf numFmtId="3" fontId="12" fillId="0" borderId="53" xfId="0" applyNumberFormat="1" applyFont="1" applyBorder="1" applyAlignment="1">
      <alignment horizontal="center" vertical="center" wrapText="1"/>
    </xf>
    <xf numFmtId="3" fontId="12" fillId="2" borderId="9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Border="1" applyAlignment="1"/>
    <xf numFmtId="3" fontId="3" fillId="28" borderId="0" xfId="0" applyNumberFormat="1" applyFont="1" applyFill="1" applyBorder="1" applyAlignment="1"/>
    <xf numFmtId="4" fontId="3" fillId="28" borderId="0" xfId="0" applyNumberFormat="1" applyFont="1" applyFill="1"/>
  </cellXfs>
  <cellStyles count="46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Millares" xfId="1" builtinId="3"/>
    <cellStyle name="Millares 2" xfId="38"/>
    <cellStyle name="Millares 3" xfId="39"/>
    <cellStyle name="Moneda" xfId="2" builtinId="4"/>
    <cellStyle name="Normal" xfId="0" builtinId="0"/>
    <cellStyle name="Normal 12" xfId="40"/>
    <cellStyle name="Normal 2 4" xfId="41"/>
    <cellStyle name="Note" xfId="42"/>
    <cellStyle name="Output" xfId="43"/>
    <cellStyle name="Title" xfId="44"/>
    <cellStyle name="Warning Text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282"/>
  <sheetViews>
    <sheetView tabSelected="1" topLeftCell="F241" zoomScaleNormal="100" workbookViewId="0">
      <selection activeCell="H229" sqref="H229"/>
    </sheetView>
  </sheetViews>
  <sheetFormatPr baseColWidth="10" defaultRowHeight="15" x14ac:dyDescent="0.25"/>
  <cols>
    <col min="1" max="1" width="2.85546875" customWidth="1"/>
    <col min="2" max="2" width="4.42578125" customWidth="1"/>
    <col min="3" max="3" width="12.42578125" customWidth="1"/>
    <col min="4" max="4" width="4.7109375" customWidth="1"/>
    <col min="5" max="5" width="18.85546875" customWidth="1"/>
    <col min="6" max="6" width="22" customWidth="1"/>
    <col min="7" max="7" width="25" customWidth="1"/>
    <col min="8" max="8" width="16.140625" customWidth="1"/>
    <col min="9" max="9" width="17" customWidth="1"/>
    <col min="10" max="10" width="21.140625" customWidth="1"/>
    <col min="11" max="11" width="17.5703125" customWidth="1"/>
    <col min="12" max="12" width="15.42578125" customWidth="1"/>
    <col min="13" max="13" width="25.42578125" customWidth="1"/>
    <col min="14" max="14" width="17.28515625" customWidth="1"/>
    <col min="15" max="15" width="18.7109375" customWidth="1"/>
    <col min="16" max="16" width="4.28515625" customWidth="1"/>
    <col min="17" max="17" width="7.5703125" customWidth="1"/>
    <col min="18" max="18" width="4.85546875" customWidth="1"/>
    <col min="19" max="19" width="4.5703125" customWidth="1"/>
    <col min="20" max="20" width="4.28515625" customWidth="1"/>
    <col min="21" max="21" width="4.140625" customWidth="1"/>
    <col min="23" max="23" width="12.28515625" bestFit="1" customWidth="1"/>
    <col min="24" max="24" width="11.5703125" bestFit="1" customWidth="1"/>
    <col min="25" max="25" width="21.140625" customWidth="1"/>
    <col min="26" max="26" width="13.7109375" bestFit="1" customWidth="1"/>
  </cols>
  <sheetData>
    <row r="2" spans="1:22" x14ac:dyDescent="0.25">
      <c r="A2" s="288"/>
      <c r="B2" s="369" t="s">
        <v>294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288"/>
    </row>
    <row r="3" spans="1:22" x14ac:dyDescent="0.25">
      <c r="B3" s="368" t="s">
        <v>295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</row>
    <row r="4" spans="1:22" x14ac:dyDescent="0.25">
      <c r="J4" s="287" t="s">
        <v>296</v>
      </c>
      <c r="K4" s="287"/>
    </row>
    <row r="5" spans="1:22" ht="14.25" customHeight="1" x14ac:dyDescent="0.25">
      <c r="A5" s="1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</row>
    <row r="6" spans="1:22" s="6" customFormat="1" ht="21.75" customHeight="1" x14ac:dyDescent="0.3">
      <c r="B6" s="359" t="s">
        <v>245</v>
      </c>
      <c r="C6" s="359"/>
      <c r="D6" s="359"/>
      <c r="E6" s="359"/>
      <c r="F6" s="359"/>
      <c r="G6" s="359"/>
      <c r="H6" s="359"/>
      <c r="I6" s="359"/>
      <c r="J6" s="359"/>
      <c r="K6" s="36"/>
      <c r="L6" s="36"/>
      <c r="M6" s="37"/>
      <c r="N6" s="36"/>
      <c r="O6" s="36"/>
    </row>
    <row r="7" spans="1:22" s="6" customFormat="1" ht="18.75" customHeight="1" x14ac:dyDescent="0.3">
      <c r="B7" s="359" t="s">
        <v>76</v>
      </c>
      <c r="C7" s="359"/>
      <c r="D7" s="359"/>
      <c r="E7" s="359"/>
      <c r="F7" s="359"/>
      <c r="G7" s="359"/>
      <c r="H7" s="359"/>
      <c r="I7" s="359"/>
      <c r="J7" s="359"/>
      <c r="K7" s="36"/>
      <c r="L7" s="36"/>
      <c r="M7" s="36"/>
      <c r="N7" s="36"/>
      <c r="O7" s="36"/>
    </row>
    <row r="8" spans="1:22" s="6" customFormat="1" ht="42" customHeight="1" x14ac:dyDescent="0.3">
      <c r="B8" s="360" t="s">
        <v>75</v>
      </c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/>
    </row>
    <row r="9" spans="1:22" ht="17.25" x14ac:dyDescent="0.3">
      <c r="A9" s="2"/>
      <c r="B9" s="33"/>
      <c r="C9" s="33"/>
      <c r="D9" s="33"/>
      <c r="E9" s="33"/>
      <c r="F9" s="33"/>
      <c r="G9" s="33"/>
      <c r="H9" s="33"/>
      <c r="I9" s="33"/>
      <c r="J9" s="33"/>
      <c r="K9" s="3"/>
      <c r="L9" s="4"/>
      <c r="M9" s="4"/>
      <c r="N9" s="4"/>
      <c r="O9" s="4"/>
      <c r="P9" s="1"/>
      <c r="Q9" s="1"/>
      <c r="R9" s="1"/>
      <c r="S9" s="1"/>
      <c r="T9" s="1"/>
      <c r="U9" s="1"/>
    </row>
    <row r="10" spans="1:22" s="7" customFormat="1" ht="18" thickBot="1" x14ac:dyDescent="0.35">
      <c r="A10" s="38"/>
      <c r="B10" s="306" t="s">
        <v>77</v>
      </c>
      <c r="C10" s="306"/>
      <c r="D10" s="306"/>
      <c r="E10" s="306"/>
      <c r="F10" s="306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</row>
    <row r="11" spans="1:22" s="5" customFormat="1" ht="16.5" customHeight="1" thickTop="1" thickBot="1" x14ac:dyDescent="0.3">
      <c r="B11" s="296" t="s">
        <v>0</v>
      </c>
      <c r="C11" s="296"/>
      <c r="D11" s="296"/>
      <c r="E11" s="296" t="s">
        <v>1</v>
      </c>
      <c r="F11" s="296" t="s">
        <v>2</v>
      </c>
      <c r="G11" s="319" t="s">
        <v>3</v>
      </c>
      <c r="H11" s="319" t="s">
        <v>4</v>
      </c>
      <c r="I11" s="319" t="s">
        <v>5</v>
      </c>
      <c r="J11" s="319" t="s">
        <v>6</v>
      </c>
      <c r="K11" s="319" t="s">
        <v>7</v>
      </c>
      <c r="L11" s="319"/>
      <c r="M11" s="319"/>
      <c r="N11" s="319"/>
      <c r="O11" s="296" t="s">
        <v>8</v>
      </c>
      <c r="P11" s="296" t="s">
        <v>9</v>
      </c>
      <c r="Q11" s="296"/>
      <c r="R11" s="296"/>
      <c r="S11" s="296"/>
      <c r="T11" s="296"/>
      <c r="U11" s="296"/>
    </row>
    <row r="12" spans="1:22" s="5" customFormat="1" ht="43.5" customHeight="1" thickTop="1" thickBot="1" x14ac:dyDescent="0.3">
      <c r="B12" s="34" t="s">
        <v>10</v>
      </c>
      <c r="C12" s="34" t="s">
        <v>11</v>
      </c>
      <c r="D12" s="34" t="s">
        <v>12</v>
      </c>
      <c r="E12" s="296"/>
      <c r="F12" s="296"/>
      <c r="G12" s="319"/>
      <c r="H12" s="319"/>
      <c r="I12" s="319"/>
      <c r="J12" s="319"/>
      <c r="K12" s="12" t="s">
        <v>13</v>
      </c>
      <c r="L12" s="12" t="s">
        <v>14</v>
      </c>
      <c r="M12" s="12" t="s">
        <v>116</v>
      </c>
      <c r="N12" s="12" t="s">
        <v>15</v>
      </c>
      <c r="O12" s="296"/>
      <c r="P12" s="296"/>
      <c r="Q12" s="296"/>
      <c r="R12" s="296"/>
      <c r="S12" s="296"/>
      <c r="T12" s="296"/>
      <c r="U12" s="296"/>
    </row>
    <row r="13" spans="1:22" s="7" customFormat="1" ht="179.25" customHeight="1" thickTop="1" thickBot="1" x14ac:dyDescent="0.3">
      <c r="B13" s="40" t="s">
        <v>79</v>
      </c>
      <c r="C13" s="40" t="s">
        <v>80</v>
      </c>
      <c r="D13" s="40">
        <v>6</v>
      </c>
      <c r="E13" s="41" t="s">
        <v>81</v>
      </c>
      <c r="F13" s="42" t="s">
        <v>16</v>
      </c>
      <c r="G13" s="40" t="s">
        <v>17</v>
      </c>
      <c r="H13" s="40" t="s">
        <v>18</v>
      </c>
      <c r="I13" s="43">
        <v>1.0009999999999999</v>
      </c>
      <c r="J13" s="43">
        <v>1.659</v>
      </c>
      <c r="K13" s="44">
        <v>0</v>
      </c>
      <c r="L13" s="44">
        <v>664</v>
      </c>
      <c r="M13" s="44">
        <v>995</v>
      </c>
      <c r="N13" s="45">
        <v>0</v>
      </c>
      <c r="O13" s="46">
        <f>SUM(J18:J21)</f>
        <v>253059934</v>
      </c>
      <c r="P13" s="361" t="s">
        <v>239</v>
      </c>
      <c r="Q13" s="361"/>
      <c r="R13" s="361"/>
      <c r="S13" s="361"/>
      <c r="T13" s="361"/>
      <c r="U13" s="361"/>
    </row>
    <row r="14" spans="1:22" s="7" customFormat="1" ht="24.75" customHeight="1" x14ac:dyDescent="0.25"/>
    <row r="15" spans="1:22" s="7" customFormat="1" ht="21" customHeight="1" thickBot="1" x14ac:dyDescent="0.35">
      <c r="B15" s="295" t="s">
        <v>78</v>
      </c>
      <c r="C15" s="295"/>
      <c r="D15" s="295"/>
      <c r="E15" s="295"/>
      <c r="F15" s="295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9"/>
    </row>
    <row r="16" spans="1:22" s="5" customFormat="1" ht="39" customHeight="1" thickTop="1" thickBot="1" x14ac:dyDescent="0.3">
      <c r="B16" s="296" t="s">
        <v>0</v>
      </c>
      <c r="C16" s="296"/>
      <c r="D16" s="296"/>
      <c r="E16" s="296" t="s">
        <v>19</v>
      </c>
      <c r="F16" s="296"/>
      <c r="G16" s="319" t="s">
        <v>20</v>
      </c>
      <c r="H16" s="319"/>
      <c r="I16" s="319"/>
      <c r="J16" s="319"/>
      <c r="K16" s="319" t="s">
        <v>21</v>
      </c>
      <c r="L16" s="319"/>
      <c r="M16" s="319"/>
      <c r="N16" s="319"/>
      <c r="O16" s="296" t="s">
        <v>22</v>
      </c>
      <c r="P16" s="319" t="s">
        <v>23</v>
      </c>
      <c r="Q16" s="319"/>
      <c r="R16" s="319"/>
      <c r="S16" s="319"/>
      <c r="T16" s="319"/>
      <c r="U16" s="319"/>
    </row>
    <row r="17" spans="2:22" s="5" customFormat="1" ht="57" customHeight="1" thickTop="1" thickBot="1" x14ac:dyDescent="0.3">
      <c r="B17" s="32" t="s">
        <v>10</v>
      </c>
      <c r="C17" s="32" t="s">
        <v>11</v>
      </c>
      <c r="D17" s="32" t="s">
        <v>12</v>
      </c>
      <c r="E17" s="296"/>
      <c r="F17" s="296"/>
      <c r="G17" s="12" t="s">
        <v>41</v>
      </c>
      <c r="H17" s="12" t="s">
        <v>24</v>
      </c>
      <c r="I17" s="12" t="s">
        <v>25</v>
      </c>
      <c r="J17" s="12" t="s">
        <v>26</v>
      </c>
      <c r="K17" s="12" t="s">
        <v>13</v>
      </c>
      <c r="L17" s="12" t="s">
        <v>14</v>
      </c>
      <c r="M17" s="12" t="s">
        <v>116</v>
      </c>
      <c r="N17" s="12" t="s">
        <v>15</v>
      </c>
      <c r="O17" s="296"/>
      <c r="P17" s="13" t="s">
        <v>27</v>
      </c>
      <c r="Q17" s="13" t="s">
        <v>28</v>
      </c>
      <c r="R17" s="13" t="s">
        <v>29</v>
      </c>
      <c r="S17" s="13" t="s">
        <v>30</v>
      </c>
      <c r="T17" s="13" t="s">
        <v>31</v>
      </c>
      <c r="U17" s="13" t="s">
        <v>32</v>
      </c>
    </row>
    <row r="18" spans="2:22" s="7" customFormat="1" ht="30" customHeight="1" thickTop="1" thickBot="1" x14ac:dyDescent="0.3">
      <c r="B18" s="366" t="s">
        <v>79</v>
      </c>
      <c r="C18" s="366" t="s">
        <v>80</v>
      </c>
      <c r="D18" s="366">
        <v>6</v>
      </c>
      <c r="E18" s="362" t="s">
        <v>234</v>
      </c>
      <c r="F18" s="362"/>
      <c r="G18" s="157" t="s">
        <v>248</v>
      </c>
      <c r="H18" s="44">
        <v>20</v>
      </c>
      <c r="I18" s="161">
        <v>227.7</v>
      </c>
      <c r="J18" s="158">
        <f>+I18*20</f>
        <v>4554</v>
      </c>
      <c r="K18" s="158"/>
      <c r="L18" s="158">
        <f>+J18/2</f>
        <v>2277</v>
      </c>
      <c r="M18" s="158">
        <v>2277</v>
      </c>
      <c r="N18" s="158"/>
      <c r="O18" s="44" t="s">
        <v>33</v>
      </c>
      <c r="P18" s="181">
        <v>98</v>
      </c>
      <c r="Q18" s="182">
        <v>2071</v>
      </c>
      <c r="R18" s="44">
        <v>3</v>
      </c>
      <c r="S18" s="44">
        <v>3</v>
      </c>
      <c r="T18" s="44">
        <v>1</v>
      </c>
      <c r="U18" s="44"/>
      <c r="V18" s="15"/>
    </row>
    <row r="19" spans="2:22" s="7" customFormat="1" ht="54" customHeight="1" thickTop="1" thickBot="1" x14ac:dyDescent="0.3">
      <c r="B19" s="367"/>
      <c r="C19" s="367"/>
      <c r="D19" s="367"/>
      <c r="E19" s="363"/>
      <c r="F19" s="363"/>
      <c r="G19" s="93" t="s">
        <v>253</v>
      </c>
      <c r="H19" s="22">
        <v>1659</v>
      </c>
      <c r="I19" s="106">
        <v>360000</v>
      </c>
      <c r="J19" s="159">
        <f>+H19*I19/4</f>
        <v>149310000</v>
      </c>
      <c r="K19" s="159">
        <v>0</v>
      </c>
      <c r="L19" s="159">
        <f>+I19*L13/4</f>
        <v>59760000</v>
      </c>
      <c r="M19" s="159">
        <f>+I19*M13/4</f>
        <v>89550000</v>
      </c>
      <c r="N19" s="159">
        <v>0</v>
      </c>
      <c r="O19" s="22" t="s">
        <v>34</v>
      </c>
      <c r="P19" s="181">
        <v>98</v>
      </c>
      <c r="Q19" s="182">
        <v>2071</v>
      </c>
      <c r="R19" s="22">
        <v>4</v>
      </c>
      <c r="S19" s="22">
        <v>1</v>
      </c>
      <c r="T19" s="22">
        <v>4</v>
      </c>
      <c r="U19" s="22">
        <v>1</v>
      </c>
      <c r="V19" s="15"/>
    </row>
    <row r="20" spans="2:22" s="121" customFormat="1" ht="107.25" customHeight="1" thickTop="1" thickBot="1" x14ac:dyDescent="0.3">
      <c r="B20" s="22" t="s">
        <v>79</v>
      </c>
      <c r="C20" s="22" t="s">
        <v>80</v>
      </c>
      <c r="D20" s="22">
        <v>6</v>
      </c>
      <c r="E20" s="364" t="s">
        <v>233</v>
      </c>
      <c r="F20" s="365"/>
      <c r="G20" s="93" t="s">
        <v>263</v>
      </c>
      <c r="H20" s="216">
        <v>10</v>
      </c>
      <c r="I20" s="217">
        <v>400000</v>
      </c>
      <c r="J20" s="218">
        <f>+I20*10</f>
        <v>4000000</v>
      </c>
      <c r="K20" s="159">
        <f>+J20/4</f>
        <v>1000000</v>
      </c>
      <c r="L20" s="159">
        <v>1000000</v>
      </c>
      <c r="M20" s="159">
        <v>1000000</v>
      </c>
      <c r="N20" s="159">
        <v>1000000</v>
      </c>
      <c r="O20" s="102" t="s">
        <v>34</v>
      </c>
      <c r="P20" s="181">
        <v>98</v>
      </c>
      <c r="Q20" s="182">
        <v>2071</v>
      </c>
      <c r="R20" s="123">
        <v>4</v>
      </c>
      <c r="S20" s="123">
        <v>1</v>
      </c>
      <c r="T20" s="123">
        <v>4</v>
      </c>
      <c r="U20" s="123">
        <v>1</v>
      </c>
      <c r="V20" s="15"/>
    </row>
    <row r="21" spans="2:22" s="7" customFormat="1" ht="56.25" customHeight="1" thickTop="1" thickBot="1" x14ac:dyDescent="0.3">
      <c r="B21" s="31" t="s">
        <v>79</v>
      </c>
      <c r="C21" s="31" t="s">
        <v>80</v>
      </c>
      <c r="D21" s="31">
        <v>6</v>
      </c>
      <c r="E21" s="330" t="s">
        <v>235</v>
      </c>
      <c r="F21" s="324"/>
      <c r="G21" s="199" t="s">
        <v>254</v>
      </c>
      <c r="H21" s="53">
        <v>913</v>
      </c>
      <c r="I21" s="51">
        <v>109250</v>
      </c>
      <c r="J21" s="51">
        <f>SUM(K21:N21)</f>
        <v>99745380</v>
      </c>
      <c r="K21" s="51">
        <f>99745380/4</f>
        <v>24936345</v>
      </c>
      <c r="L21" s="51">
        <f>99745380/4</f>
        <v>24936345</v>
      </c>
      <c r="M21" s="51">
        <f>99745380/4</f>
        <v>24936345</v>
      </c>
      <c r="N21" s="51">
        <f>99745380/4</f>
        <v>24936345</v>
      </c>
      <c r="O21" s="54" t="s">
        <v>34</v>
      </c>
      <c r="P21" s="181">
        <v>98</v>
      </c>
      <c r="Q21" s="182">
        <v>2071</v>
      </c>
      <c r="R21" s="123">
        <v>4</v>
      </c>
      <c r="S21" s="123">
        <v>1</v>
      </c>
      <c r="T21" s="123">
        <v>4</v>
      </c>
      <c r="U21" s="123">
        <v>1</v>
      </c>
    </row>
    <row r="22" spans="2:22" s="7" customFormat="1" ht="23.25" customHeight="1" x14ac:dyDescent="0.25">
      <c r="B22" s="55"/>
      <c r="C22" s="55"/>
      <c r="D22" s="55"/>
      <c r="E22" s="55"/>
      <c r="F22" s="55"/>
      <c r="G22" s="55"/>
      <c r="H22" s="55"/>
      <c r="I22" s="20"/>
      <c r="J22" s="21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2:22" s="7" customFormat="1" x14ac:dyDescent="0.25">
      <c r="E23" s="56"/>
      <c r="F23" s="56"/>
      <c r="G23" s="57"/>
      <c r="H23" s="58"/>
      <c r="I23" s="58"/>
      <c r="J23" s="58"/>
      <c r="K23" s="58"/>
      <c r="L23" s="58"/>
      <c r="M23" s="58"/>
      <c r="N23" s="58"/>
      <c r="O23" s="59"/>
      <c r="P23" s="59"/>
      <c r="Q23" s="59"/>
      <c r="R23" s="59"/>
      <c r="S23" s="59"/>
      <c r="T23" s="59"/>
    </row>
    <row r="24" spans="2:22" s="7" customFormat="1" ht="18" thickBot="1" x14ac:dyDescent="0.35">
      <c r="B24" s="306" t="s">
        <v>77</v>
      </c>
      <c r="C24" s="306"/>
      <c r="D24" s="306"/>
      <c r="E24" s="306"/>
      <c r="F24" s="306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</row>
    <row r="25" spans="2:22" s="7" customFormat="1" ht="18" customHeight="1" thickTop="1" thickBot="1" x14ac:dyDescent="0.3">
      <c r="B25" s="296" t="s">
        <v>0</v>
      </c>
      <c r="C25" s="296"/>
      <c r="D25" s="296"/>
      <c r="E25" s="296" t="s">
        <v>1</v>
      </c>
      <c r="F25" s="296" t="s">
        <v>2</v>
      </c>
      <c r="G25" s="319" t="s">
        <v>3</v>
      </c>
      <c r="H25" s="319" t="s">
        <v>4</v>
      </c>
      <c r="I25" s="319" t="s">
        <v>5</v>
      </c>
      <c r="J25" s="319" t="s">
        <v>6</v>
      </c>
      <c r="K25" s="319" t="s">
        <v>7</v>
      </c>
      <c r="L25" s="319"/>
      <c r="M25" s="319"/>
      <c r="N25" s="319"/>
      <c r="O25" s="296" t="s">
        <v>8</v>
      </c>
      <c r="P25" s="296" t="s">
        <v>9</v>
      </c>
      <c r="Q25" s="296"/>
      <c r="R25" s="296"/>
      <c r="S25" s="296"/>
      <c r="T25" s="296"/>
      <c r="U25" s="296"/>
    </row>
    <row r="26" spans="2:22" s="7" customFormat="1" ht="38.25" customHeight="1" thickTop="1" thickBot="1" x14ac:dyDescent="0.3">
      <c r="B26" s="32" t="s">
        <v>10</v>
      </c>
      <c r="C26" s="32" t="s">
        <v>11</v>
      </c>
      <c r="D26" s="32" t="s">
        <v>12</v>
      </c>
      <c r="E26" s="296"/>
      <c r="F26" s="296"/>
      <c r="G26" s="319"/>
      <c r="H26" s="319"/>
      <c r="I26" s="319"/>
      <c r="J26" s="319"/>
      <c r="K26" s="12" t="s">
        <v>13</v>
      </c>
      <c r="L26" s="12" t="s">
        <v>14</v>
      </c>
      <c r="M26" s="12" t="s">
        <v>116</v>
      </c>
      <c r="N26" s="12" t="s">
        <v>15</v>
      </c>
      <c r="O26" s="296"/>
      <c r="P26" s="296"/>
      <c r="Q26" s="296"/>
      <c r="R26" s="296"/>
      <c r="S26" s="296"/>
      <c r="T26" s="296"/>
      <c r="U26" s="296"/>
    </row>
    <row r="27" spans="2:22" s="7" customFormat="1" ht="105" customHeight="1" thickTop="1" thickBot="1" x14ac:dyDescent="0.3">
      <c r="B27" s="40" t="s">
        <v>79</v>
      </c>
      <c r="C27" s="40" t="s">
        <v>80</v>
      </c>
      <c r="D27" s="40">
        <v>6</v>
      </c>
      <c r="E27" s="41" t="s">
        <v>82</v>
      </c>
      <c r="F27" s="42" t="s">
        <v>83</v>
      </c>
      <c r="G27" s="40" t="s">
        <v>17</v>
      </c>
      <c r="H27" s="40" t="s">
        <v>18</v>
      </c>
      <c r="I27" s="60">
        <v>523</v>
      </c>
      <c r="J27" s="40">
        <v>200</v>
      </c>
      <c r="K27" s="44"/>
      <c r="L27" s="44"/>
      <c r="M27" s="44">
        <v>100</v>
      </c>
      <c r="N27" s="45">
        <v>100</v>
      </c>
      <c r="O27" s="46">
        <f>SUM(J32:J34)</f>
        <v>322000</v>
      </c>
      <c r="P27" s="316" t="s">
        <v>85</v>
      </c>
      <c r="Q27" s="317"/>
      <c r="R27" s="317"/>
      <c r="S27" s="317"/>
      <c r="T27" s="317"/>
      <c r="U27" s="318"/>
    </row>
    <row r="28" spans="2:22" s="7" customFormat="1" x14ac:dyDescent="0.25"/>
    <row r="29" spans="2:22" s="7" customFormat="1" ht="18" thickBot="1" x14ac:dyDescent="0.35">
      <c r="B29" s="295" t="s">
        <v>78</v>
      </c>
      <c r="C29" s="295"/>
      <c r="D29" s="295"/>
      <c r="E29" s="295"/>
      <c r="F29" s="2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4"/>
      <c r="R29" s="94"/>
      <c r="S29" s="94"/>
      <c r="T29" s="94"/>
      <c r="U29" s="94"/>
    </row>
    <row r="30" spans="2:22" s="7" customFormat="1" ht="16.5" thickTop="1" thickBot="1" x14ac:dyDescent="0.3">
      <c r="B30" s="296" t="s">
        <v>0</v>
      </c>
      <c r="C30" s="296"/>
      <c r="D30" s="296"/>
      <c r="E30" s="296" t="s">
        <v>19</v>
      </c>
      <c r="F30" s="296"/>
      <c r="G30" s="319" t="s">
        <v>20</v>
      </c>
      <c r="H30" s="319"/>
      <c r="I30" s="319"/>
      <c r="J30" s="319"/>
      <c r="K30" s="319" t="s">
        <v>21</v>
      </c>
      <c r="L30" s="319"/>
      <c r="M30" s="319"/>
      <c r="N30" s="319"/>
      <c r="O30" s="296" t="s">
        <v>22</v>
      </c>
      <c r="P30" s="319" t="s">
        <v>23</v>
      </c>
      <c r="Q30" s="319"/>
      <c r="R30" s="319"/>
      <c r="S30" s="319"/>
      <c r="T30" s="319"/>
      <c r="U30" s="319"/>
    </row>
    <row r="31" spans="2:22" s="7" customFormat="1" ht="55.5" customHeight="1" thickTop="1" thickBot="1" x14ac:dyDescent="0.3">
      <c r="B31" s="32" t="s">
        <v>10</v>
      </c>
      <c r="C31" s="32" t="s">
        <v>11</v>
      </c>
      <c r="D31" s="32" t="s">
        <v>12</v>
      </c>
      <c r="E31" s="296"/>
      <c r="F31" s="296"/>
      <c r="G31" s="12" t="s">
        <v>20</v>
      </c>
      <c r="H31" s="12" t="s">
        <v>24</v>
      </c>
      <c r="I31" s="12" t="s">
        <v>25</v>
      </c>
      <c r="J31" s="12" t="s">
        <v>26</v>
      </c>
      <c r="K31" s="12" t="s">
        <v>13</v>
      </c>
      <c r="L31" s="12" t="s">
        <v>14</v>
      </c>
      <c r="M31" s="12" t="s">
        <v>116</v>
      </c>
      <c r="N31" s="12" t="s">
        <v>15</v>
      </c>
      <c r="O31" s="296"/>
      <c r="P31" s="13" t="s">
        <v>27</v>
      </c>
      <c r="Q31" s="13" t="s">
        <v>28</v>
      </c>
      <c r="R31" s="13" t="s">
        <v>29</v>
      </c>
      <c r="S31" s="13" t="s">
        <v>30</v>
      </c>
      <c r="T31" s="13" t="s">
        <v>31</v>
      </c>
      <c r="U31" s="13" t="s">
        <v>32</v>
      </c>
    </row>
    <row r="32" spans="2:22" s="7" customFormat="1" ht="41.25" customHeight="1" thickTop="1" thickBot="1" x14ac:dyDescent="0.3">
      <c r="B32" s="307" t="s">
        <v>79</v>
      </c>
      <c r="C32" s="307" t="s">
        <v>80</v>
      </c>
      <c r="D32" s="307">
        <v>6</v>
      </c>
      <c r="E32" s="291" t="s">
        <v>84</v>
      </c>
      <c r="F32" s="291"/>
      <c r="G32" s="195" t="s">
        <v>255</v>
      </c>
      <c r="H32" s="47">
        <v>10</v>
      </c>
      <c r="I32" s="46">
        <v>1600</v>
      </c>
      <c r="J32" s="50">
        <f>+I32*H32</f>
        <v>16000</v>
      </c>
      <c r="K32" s="50">
        <v>0</v>
      </c>
      <c r="L32" s="50">
        <v>0</v>
      </c>
      <c r="M32" s="50">
        <f>+J32/2</f>
        <v>8000</v>
      </c>
      <c r="N32" s="50">
        <f>+J32/2</f>
        <v>8000</v>
      </c>
      <c r="O32" s="47" t="s">
        <v>34</v>
      </c>
      <c r="P32" s="44">
        <v>98</v>
      </c>
      <c r="Q32" s="180">
        <v>2071</v>
      </c>
      <c r="R32" s="22">
        <v>3</v>
      </c>
      <c r="S32" s="22">
        <v>6</v>
      </c>
      <c r="T32" s="22">
        <v>3</v>
      </c>
      <c r="U32" s="44">
        <v>6</v>
      </c>
    </row>
    <row r="33" spans="2:21" s="7" customFormat="1" ht="48" customHeight="1" thickBot="1" x14ac:dyDescent="0.3">
      <c r="B33" s="302"/>
      <c r="C33" s="302"/>
      <c r="D33" s="302"/>
      <c r="E33" s="299"/>
      <c r="F33" s="299"/>
      <c r="G33" s="77" t="s">
        <v>252</v>
      </c>
      <c r="H33" s="35">
        <v>20</v>
      </c>
      <c r="I33" s="96">
        <v>300</v>
      </c>
      <c r="J33" s="97">
        <f>+I33*H33</f>
        <v>6000</v>
      </c>
      <c r="K33" s="97">
        <v>0</v>
      </c>
      <c r="L33" s="97">
        <v>0</v>
      </c>
      <c r="M33" s="97">
        <f>+J33/2</f>
        <v>3000</v>
      </c>
      <c r="N33" s="97">
        <f>+J33/2</f>
        <v>3000</v>
      </c>
      <c r="O33" s="35" t="s">
        <v>34</v>
      </c>
      <c r="P33" s="22">
        <v>98</v>
      </c>
      <c r="Q33" s="22">
        <v>2071</v>
      </c>
      <c r="R33" s="22">
        <v>3</v>
      </c>
      <c r="S33" s="22">
        <v>6</v>
      </c>
      <c r="T33" s="22">
        <v>3</v>
      </c>
      <c r="U33" s="22">
        <v>6</v>
      </c>
    </row>
    <row r="34" spans="2:21" s="7" customFormat="1" ht="78" customHeight="1" thickBot="1" x14ac:dyDescent="0.3">
      <c r="B34" s="302"/>
      <c r="C34" s="302"/>
      <c r="D34" s="302"/>
      <c r="E34" s="299"/>
      <c r="F34" s="299"/>
      <c r="G34" s="111" t="s">
        <v>264</v>
      </c>
      <c r="H34" s="22">
        <v>6</v>
      </c>
      <c r="I34" s="166">
        <v>50000</v>
      </c>
      <c r="J34" s="219">
        <f>+I34*H34</f>
        <v>300000</v>
      </c>
      <c r="K34" s="111">
        <v>0</v>
      </c>
      <c r="L34" s="111">
        <v>0</v>
      </c>
      <c r="M34" s="111">
        <f>+J34/2</f>
        <v>150000</v>
      </c>
      <c r="N34" s="111">
        <f>+M34</f>
        <v>150000</v>
      </c>
      <c r="O34" s="111" t="s">
        <v>34</v>
      </c>
      <c r="P34" s="22">
        <v>98</v>
      </c>
      <c r="Q34" s="22">
        <v>2071</v>
      </c>
      <c r="R34" s="22">
        <v>4</v>
      </c>
      <c r="S34" s="22">
        <v>1</v>
      </c>
      <c r="T34" s="22">
        <v>3</v>
      </c>
      <c r="U34" s="22"/>
    </row>
    <row r="35" spans="2:21" s="7" customFormat="1" x14ac:dyDescent="0.25">
      <c r="B35" s="8"/>
      <c r="C35" s="8"/>
      <c r="D35" s="8"/>
      <c r="E35" s="8"/>
      <c r="F35" s="8"/>
      <c r="G35" s="8"/>
      <c r="H35" s="9"/>
      <c r="I35" s="9"/>
      <c r="J35" s="10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2:21" s="7" customFormat="1" x14ac:dyDescent="0.25">
      <c r="B36" s="8"/>
      <c r="C36" s="8"/>
      <c r="D36" s="8"/>
      <c r="E36" s="8"/>
      <c r="F36" s="8"/>
      <c r="G36" s="8"/>
      <c r="H36" s="9"/>
      <c r="I36" s="9"/>
      <c r="J36" s="10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2:21" s="7" customFormat="1" x14ac:dyDescent="0.25">
      <c r="B37" s="8"/>
      <c r="C37" s="8"/>
      <c r="D37" s="8"/>
      <c r="E37" s="8"/>
      <c r="F37" s="8"/>
      <c r="G37" s="8"/>
      <c r="H37" s="9"/>
      <c r="I37" s="9"/>
      <c r="J37" s="10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2:21" s="7" customFormat="1" ht="17.25" customHeight="1" thickBot="1" x14ac:dyDescent="0.35">
      <c r="B38" s="306" t="s">
        <v>77</v>
      </c>
      <c r="C38" s="306"/>
      <c r="D38" s="306"/>
      <c r="E38" s="306"/>
      <c r="F38" s="306"/>
      <c r="G38" s="39"/>
      <c r="H38" s="39"/>
      <c r="I38" s="39"/>
      <c r="J38" s="39"/>
      <c r="K38" s="39"/>
      <c r="L38" s="39"/>
      <c r="M38" s="39"/>
      <c r="N38" s="39"/>
      <c r="O38" s="98"/>
      <c r="P38" s="98"/>
      <c r="Q38" s="99"/>
      <c r="R38" s="99"/>
      <c r="S38" s="99"/>
      <c r="T38" s="99"/>
      <c r="U38" s="99"/>
    </row>
    <row r="39" spans="2:21" s="7" customFormat="1" ht="16.5" thickTop="1" thickBot="1" x14ac:dyDescent="0.3">
      <c r="B39" s="308" t="s">
        <v>0</v>
      </c>
      <c r="C39" s="309"/>
      <c r="D39" s="310"/>
      <c r="E39" s="311" t="s">
        <v>1</v>
      </c>
      <c r="F39" s="311" t="s">
        <v>2</v>
      </c>
      <c r="G39" s="346" t="s">
        <v>3</v>
      </c>
      <c r="H39" s="346" t="s">
        <v>4</v>
      </c>
      <c r="I39" s="346" t="s">
        <v>5</v>
      </c>
      <c r="J39" s="346" t="s">
        <v>6</v>
      </c>
      <c r="K39" s="349" t="s">
        <v>7</v>
      </c>
      <c r="L39" s="350"/>
      <c r="M39" s="350"/>
      <c r="N39" s="351"/>
      <c r="O39" s="311" t="s">
        <v>8</v>
      </c>
      <c r="P39" s="352" t="s">
        <v>9</v>
      </c>
      <c r="Q39" s="353"/>
      <c r="R39" s="353"/>
      <c r="S39" s="353"/>
      <c r="T39" s="353"/>
      <c r="U39" s="354"/>
    </row>
    <row r="40" spans="2:21" s="7" customFormat="1" ht="32.25" customHeight="1" thickTop="1" thickBot="1" x14ac:dyDescent="0.3">
      <c r="B40" s="61" t="s">
        <v>10</v>
      </c>
      <c r="C40" s="61" t="s">
        <v>11</v>
      </c>
      <c r="D40" s="61" t="s">
        <v>12</v>
      </c>
      <c r="E40" s="312"/>
      <c r="F40" s="312"/>
      <c r="G40" s="347"/>
      <c r="H40" s="347"/>
      <c r="I40" s="347"/>
      <c r="J40" s="347"/>
      <c r="K40" s="62" t="s">
        <v>13</v>
      </c>
      <c r="L40" s="62" t="s">
        <v>14</v>
      </c>
      <c r="M40" s="62" t="s">
        <v>116</v>
      </c>
      <c r="N40" s="62" t="s">
        <v>15</v>
      </c>
      <c r="O40" s="312"/>
      <c r="P40" s="355"/>
      <c r="Q40" s="356"/>
      <c r="R40" s="356"/>
      <c r="S40" s="356"/>
      <c r="T40" s="356"/>
      <c r="U40" s="357"/>
    </row>
    <row r="41" spans="2:21" s="7" customFormat="1" ht="148.5" customHeight="1" thickTop="1" thickBot="1" x14ac:dyDescent="0.3">
      <c r="B41" s="122" t="s">
        <v>79</v>
      </c>
      <c r="C41" s="122" t="s">
        <v>80</v>
      </c>
      <c r="D41" s="122">
        <v>6</v>
      </c>
      <c r="E41" s="171" t="s">
        <v>86</v>
      </c>
      <c r="F41" s="129" t="s">
        <v>88</v>
      </c>
      <c r="G41" s="122" t="s">
        <v>35</v>
      </c>
      <c r="H41" s="122" t="s">
        <v>18</v>
      </c>
      <c r="I41" s="174">
        <f>44+69+120</f>
        <v>233</v>
      </c>
      <c r="J41" s="122">
        <f>SUM(K41:N41)</f>
        <v>340</v>
      </c>
      <c r="K41" s="172">
        <f>22+32+40</f>
        <v>94</v>
      </c>
      <c r="L41" s="172">
        <f>22+19+40</f>
        <v>81</v>
      </c>
      <c r="M41" s="172">
        <f>22+21+40</f>
        <v>83</v>
      </c>
      <c r="N41" s="173">
        <f>20+22+40</f>
        <v>82</v>
      </c>
      <c r="O41" s="128">
        <f>SUM(J46:J59)</f>
        <v>2987419.9</v>
      </c>
      <c r="P41" s="342" t="s">
        <v>87</v>
      </c>
      <c r="Q41" s="342"/>
      <c r="R41" s="342"/>
      <c r="S41" s="342"/>
      <c r="T41" s="342"/>
      <c r="U41" s="342"/>
    </row>
    <row r="42" spans="2:21" s="7" customFormat="1" x14ac:dyDescent="0.25">
      <c r="B42" s="8"/>
      <c r="C42" s="8"/>
      <c r="D42" s="8"/>
      <c r="E42" s="8"/>
      <c r="F42" s="8"/>
      <c r="G42" s="8"/>
      <c r="H42" s="9"/>
      <c r="I42" s="9"/>
      <c r="J42" s="10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2:21" s="7" customFormat="1" ht="18" thickBot="1" x14ac:dyDescent="0.35">
      <c r="B43" s="295" t="s">
        <v>78</v>
      </c>
      <c r="C43" s="295"/>
      <c r="D43" s="295"/>
      <c r="E43" s="295"/>
      <c r="F43" s="295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1"/>
      <c r="S43" s="101"/>
      <c r="T43" s="101"/>
      <c r="U43" s="101"/>
    </row>
    <row r="44" spans="2:21" s="7" customFormat="1" ht="24.75" customHeight="1" thickTop="1" thickBot="1" x14ac:dyDescent="0.3">
      <c r="B44" s="296" t="s">
        <v>0</v>
      </c>
      <c r="C44" s="296"/>
      <c r="D44" s="296"/>
      <c r="E44" s="296" t="s">
        <v>19</v>
      </c>
      <c r="F44" s="296"/>
      <c r="G44" s="319" t="s">
        <v>20</v>
      </c>
      <c r="H44" s="319"/>
      <c r="I44" s="319"/>
      <c r="J44" s="319"/>
      <c r="K44" s="319" t="s">
        <v>21</v>
      </c>
      <c r="L44" s="319"/>
      <c r="M44" s="319"/>
      <c r="N44" s="319"/>
      <c r="O44" s="296" t="s">
        <v>22</v>
      </c>
      <c r="P44" s="319" t="s">
        <v>23</v>
      </c>
      <c r="Q44" s="319"/>
      <c r="R44" s="319"/>
      <c r="S44" s="319"/>
      <c r="T44" s="319"/>
      <c r="U44" s="319"/>
    </row>
    <row r="45" spans="2:21" s="7" customFormat="1" ht="55.5" customHeight="1" thickTop="1" thickBot="1" x14ac:dyDescent="0.3">
      <c r="B45" s="32" t="s">
        <v>10</v>
      </c>
      <c r="C45" s="32" t="s">
        <v>11</v>
      </c>
      <c r="D45" s="32" t="s">
        <v>12</v>
      </c>
      <c r="E45" s="296"/>
      <c r="F45" s="296"/>
      <c r="G45" s="12" t="s">
        <v>36</v>
      </c>
      <c r="H45" s="12" t="s">
        <v>24</v>
      </c>
      <c r="I45" s="12" t="s">
        <v>25</v>
      </c>
      <c r="J45" s="12" t="s">
        <v>26</v>
      </c>
      <c r="K45" s="12" t="s">
        <v>13</v>
      </c>
      <c r="L45" s="12" t="s">
        <v>14</v>
      </c>
      <c r="M45" s="12" t="s">
        <v>116</v>
      </c>
      <c r="N45" s="12" t="s">
        <v>15</v>
      </c>
      <c r="O45" s="296"/>
      <c r="P45" s="13" t="s">
        <v>27</v>
      </c>
      <c r="Q45" s="13" t="s">
        <v>28</v>
      </c>
      <c r="R45" s="13" t="s">
        <v>29</v>
      </c>
      <c r="S45" s="13" t="s">
        <v>30</v>
      </c>
      <c r="T45" s="13" t="s">
        <v>31</v>
      </c>
      <c r="U45" s="13" t="s">
        <v>32</v>
      </c>
    </row>
    <row r="46" spans="2:21" s="7" customFormat="1" ht="28.5" customHeight="1" thickTop="1" thickBot="1" x14ac:dyDescent="0.3">
      <c r="B46" s="307" t="s">
        <v>79</v>
      </c>
      <c r="C46" s="307" t="s">
        <v>80</v>
      </c>
      <c r="D46" s="307">
        <v>6</v>
      </c>
      <c r="E46" s="291" t="s">
        <v>97</v>
      </c>
      <c r="F46" s="291"/>
      <c r="G46" s="109" t="s">
        <v>90</v>
      </c>
      <c r="H46" s="40">
        <f>86</f>
        <v>86</v>
      </c>
      <c r="I46" s="163">
        <v>1625</v>
      </c>
      <c r="J46" s="109">
        <f>SUM(K46:N46)</f>
        <v>139751.5</v>
      </c>
      <c r="K46" s="109">
        <f>+I46*H46/4</f>
        <v>34937.5</v>
      </c>
      <c r="L46" s="109">
        <v>34938</v>
      </c>
      <c r="M46" s="109">
        <v>34938</v>
      </c>
      <c r="N46" s="109">
        <v>34938</v>
      </c>
      <c r="O46" s="40" t="s">
        <v>34</v>
      </c>
      <c r="P46" s="22">
        <v>98</v>
      </c>
      <c r="Q46" s="22">
        <v>2071</v>
      </c>
      <c r="R46" s="22">
        <v>2</v>
      </c>
      <c r="S46" s="22">
        <v>3</v>
      </c>
      <c r="T46" s="40">
        <v>1</v>
      </c>
      <c r="U46" s="40"/>
    </row>
    <row r="47" spans="2:21" s="7" customFormat="1" ht="30.75" thickBot="1" x14ac:dyDescent="0.3">
      <c r="B47" s="302"/>
      <c r="C47" s="302"/>
      <c r="D47" s="302"/>
      <c r="E47" s="299"/>
      <c r="F47" s="299"/>
      <c r="G47" s="110" t="s">
        <v>91</v>
      </c>
      <c r="H47" s="31">
        <f>2500</f>
        <v>2500</v>
      </c>
      <c r="I47" s="162">
        <v>240</v>
      </c>
      <c r="J47" s="162">
        <f t="shared" ref="J47:J59" si="0">+H47*I47</f>
        <v>600000</v>
      </c>
      <c r="K47" s="110">
        <f>+I47*H47/4</f>
        <v>150000</v>
      </c>
      <c r="L47" s="110">
        <v>150000</v>
      </c>
      <c r="M47" s="110">
        <v>150000</v>
      </c>
      <c r="N47" s="110">
        <v>150000</v>
      </c>
      <c r="O47" s="31" t="s">
        <v>34</v>
      </c>
      <c r="P47" s="22">
        <v>98</v>
      </c>
      <c r="Q47" s="22">
        <v>2071</v>
      </c>
      <c r="R47" s="22">
        <v>3</v>
      </c>
      <c r="S47" s="22">
        <v>7</v>
      </c>
      <c r="T47" s="22">
        <v>1</v>
      </c>
      <c r="U47" s="22">
        <v>2</v>
      </c>
    </row>
    <row r="48" spans="2:21" s="7" customFormat="1" ht="31.5" customHeight="1" thickBot="1" x14ac:dyDescent="0.3">
      <c r="B48" s="302"/>
      <c r="C48" s="302"/>
      <c r="D48" s="302"/>
      <c r="E48" s="299"/>
      <c r="F48" s="299"/>
      <c r="G48" s="110" t="s">
        <v>94</v>
      </c>
      <c r="H48" s="31">
        <f>80</f>
        <v>80</v>
      </c>
      <c r="I48" s="162">
        <v>40</v>
      </c>
      <c r="J48" s="162">
        <f t="shared" si="0"/>
        <v>3200</v>
      </c>
      <c r="K48" s="110">
        <f>3200/4</f>
        <v>800</v>
      </c>
      <c r="L48" s="110">
        <v>800</v>
      </c>
      <c r="M48" s="110">
        <v>800</v>
      </c>
      <c r="N48" s="110">
        <v>800</v>
      </c>
      <c r="O48" s="31" t="s">
        <v>34</v>
      </c>
      <c r="P48" s="22">
        <v>98</v>
      </c>
      <c r="Q48" s="22">
        <v>2071</v>
      </c>
      <c r="R48" s="22">
        <v>2</v>
      </c>
      <c r="S48" s="22">
        <v>4</v>
      </c>
      <c r="T48" s="22">
        <v>4</v>
      </c>
      <c r="U48" s="22"/>
    </row>
    <row r="49" spans="1:25" s="7" customFormat="1" ht="27" customHeight="1" thickBot="1" x14ac:dyDescent="0.3">
      <c r="B49" s="302" t="s">
        <v>79</v>
      </c>
      <c r="C49" s="302" t="s">
        <v>80</v>
      </c>
      <c r="D49" s="302">
        <v>6</v>
      </c>
      <c r="E49" s="299" t="s">
        <v>99</v>
      </c>
      <c r="F49" s="299"/>
      <c r="G49" s="113" t="s">
        <v>92</v>
      </c>
      <c r="H49" s="102">
        <v>94</v>
      </c>
      <c r="I49" s="164">
        <v>1500</v>
      </c>
      <c r="J49" s="162">
        <f t="shared" si="0"/>
        <v>141000</v>
      </c>
      <c r="K49" s="165">
        <f>I49*H49/4</f>
        <v>35250</v>
      </c>
      <c r="L49" s="165">
        <f t="shared" ref="L49:N50" si="1">+K49</f>
        <v>35250</v>
      </c>
      <c r="M49" s="165">
        <f t="shared" si="1"/>
        <v>35250</v>
      </c>
      <c r="N49" s="165">
        <f t="shared" si="1"/>
        <v>35250</v>
      </c>
      <c r="O49" s="31" t="s">
        <v>34</v>
      </c>
      <c r="P49" s="22">
        <v>98</v>
      </c>
      <c r="Q49" s="22">
        <v>2071</v>
      </c>
      <c r="R49" s="22">
        <v>2</v>
      </c>
      <c r="S49" s="22">
        <v>3</v>
      </c>
      <c r="T49" s="22">
        <v>1</v>
      </c>
      <c r="U49" s="22"/>
      <c r="X49" s="64"/>
      <c r="Y49" s="64"/>
    </row>
    <row r="50" spans="1:25" s="7" customFormat="1" ht="25.5" customHeight="1" thickBot="1" x14ac:dyDescent="0.3">
      <c r="B50" s="302"/>
      <c r="C50" s="302"/>
      <c r="D50" s="302"/>
      <c r="E50" s="299"/>
      <c r="F50" s="299"/>
      <c r="G50" s="113" t="s">
        <v>93</v>
      </c>
      <c r="H50" s="102">
        <v>2500</v>
      </c>
      <c r="I50" s="164">
        <v>240</v>
      </c>
      <c r="J50" s="162">
        <f t="shared" si="0"/>
        <v>600000</v>
      </c>
      <c r="K50" s="165">
        <f t="shared" ref="K50:K57" si="2">+I50*H50/4</f>
        <v>150000</v>
      </c>
      <c r="L50" s="165">
        <f t="shared" si="1"/>
        <v>150000</v>
      </c>
      <c r="M50" s="165">
        <f t="shared" si="1"/>
        <v>150000</v>
      </c>
      <c r="N50" s="165">
        <f t="shared" si="1"/>
        <v>150000</v>
      </c>
      <c r="O50" s="31" t="s">
        <v>34</v>
      </c>
      <c r="P50" s="22">
        <v>98</v>
      </c>
      <c r="Q50" s="22">
        <v>2071</v>
      </c>
      <c r="R50" s="22">
        <v>3</v>
      </c>
      <c r="S50" s="22">
        <v>7</v>
      </c>
      <c r="T50" s="22">
        <v>1</v>
      </c>
      <c r="U50" s="22">
        <v>2</v>
      </c>
      <c r="Y50" s="64"/>
    </row>
    <row r="51" spans="1:25" s="7" customFormat="1" ht="27" customHeight="1" thickBot="1" x14ac:dyDescent="0.3">
      <c r="B51" s="302"/>
      <c r="C51" s="302"/>
      <c r="D51" s="302"/>
      <c r="E51" s="299"/>
      <c r="F51" s="299"/>
      <c r="G51" s="110" t="s">
        <v>94</v>
      </c>
      <c r="H51" s="31">
        <f>80</f>
        <v>80</v>
      </c>
      <c r="I51" s="162">
        <v>40</v>
      </c>
      <c r="J51" s="162">
        <f t="shared" si="0"/>
        <v>3200</v>
      </c>
      <c r="K51" s="110">
        <f t="shared" si="2"/>
        <v>800</v>
      </c>
      <c r="L51" s="110">
        <v>800</v>
      </c>
      <c r="M51" s="110">
        <v>800</v>
      </c>
      <c r="N51" s="110">
        <v>800</v>
      </c>
      <c r="O51" s="31" t="s">
        <v>34</v>
      </c>
      <c r="P51" s="22">
        <v>98</v>
      </c>
      <c r="Q51" s="22">
        <v>2071</v>
      </c>
      <c r="R51" s="22">
        <v>2</v>
      </c>
      <c r="S51" s="22">
        <v>4</v>
      </c>
      <c r="T51" s="22">
        <v>4</v>
      </c>
      <c r="U51" s="22"/>
      <c r="Y51" s="65"/>
    </row>
    <row r="52" spans="1:25" s="7" customFormat="1" ht="27.75" customHeight="1" thickBot="1" x14ac:dyDescent="0.3">
      <c r="B52" s="302" t="s">
        <v>79</v>
      </c>
      <c r="C52" s="302" t="s">
        <v>80</v>
      </c>
      <c r="D52" s="302">
        <v>6</v>
      </c>
      <c r="E52" s="293" t="s">
        <v>100</v>
      </c>
      <c r="F52" s="348"/>
      <c r="G52" s="111" t="s">
        <v>38</v>
      </c>
      <c r="H52" s="22">
        <v>160</v>
      </c>
      <c r="I52" s="166">
        <v>1625</v>
      </c>
      <c r="J52" s="162">
        <f t="shared" si="0"/>
        <v>260000</v>
      </c>
      <c r="K52" s="166">
        <f t="shared" si="2"/>
        <v>65000</v>
      </c>
      <c r="L52" s="166">
        <f t="shared" ref="L52:L56" si="3">K52</f>
        <v>65000</v>
      </c>
      <c r="M52" s="166">
        <f t="shared" ref="M52:M56" si="4">K52</f>
        <v>65000</v>
      </c>
      <c r="N52" s="166">
        <f t="shared" ref="N52:N56" si="5">K52</f>
        <v>65000</v>
      </c>
      <c r="O52" s="31" t="s">
        <v>34</v>
      </c>
      <c r="P52" s="22">
        <v>98</v>
      </c>
      <c r="Q52" s="22">
        <v>2071</v>
      </c>
      <c r="R52" s="22">
        <v>2</v>
      </c>
      <c r="S52" s="22">
        <v>3</v>
      </c>
      <c r="T52" s="22">
        <v>1</v>
      </c>
      <c r="U52" s="22"/>
      <c r="Y52" s="64"/>
    </row>
    <row r="53" spans="1:25" s="7" customFormat="1" ht="30.75" thickBot="1" x14ac:dyDescent="0.3">
      <c r="B53" s="302"/>
      <c r="C53" s="302"/>
      <c r="D53" s="302"/>
      <c r="E53" s="348"/>
      <c r="F53" s="348"/>
      <c r="G53" s="111" t="s">
        <v>95</v>
      </c>
      <c r="H53" s="105">
        <f>24*160</f>
        <v>3840</v>
      </c>
      <c r="I53" s="166">
        <v>240</v>
      </c>
      <c r="J53" s="162">
        <f t="shared" si="0"/>
        <v>921600</v>
      </c>
      <c r="K53" s="166">
        <f t="shared" si="2"/>
        <v>230400</v>
      </c>
      <c r="L53" s="166">
        <f t="shared" si="3"/>
        <v>230400</v>
      </c>
      <c r="M53" s="166">
        <f t="shared" si="4"/>
        <v>230400</v>
      </c>
      <c r="N53" s="166">
        <f t="shared" si="5"/>
        <v>230400</v>
      </c>
      <c r="O53" s="31" t="s">
        <v>34</v>
      </c>
      <c r="P53" s="22">
        <v>98</v>
      </c>
      <c r="Q53" s="22">
        <v>2071</v>
      </c>
      <c r="R53" s="22">
        <v>3</v>
      </c>
      <c r="S53" s="22">
        <v>7</v>
      </c>
      <c r="T53" s="22">
        <v>1</v>
      </c>
      <c r="U53" s="22">
        <v>2</v>
      </c>
      <c r="V53" s="215"/>
    </row>
    <row r="54" spans="1:25" s="7" customFormat="1" ht="35.1" customHeight="1" thickBot="1" x14ac:dyDescent="0.3">
      <c r="B54" s="302"/>
      <c r="C54" s="302"/>
      <c r="D54" s="302"/>
      <c r="E54" s="348"/>
      <c r="F54" s="348"/>
      <c r="G54" s="110" t="s">
        <v>96</v>
      </c>
      <c r="H54" s="22">
        <v>4500</v>
      </c>
      <c r="I54" s="166">
        <v>30</v>
      </c>
      <c r="J54" s="162">
        <f t="shared" si="0"/>
        <v>135000</v>
      </c>
      <c r="K54" s="166">
        <f t="shared" si="2"/>
        <v>33750</v>
      </c>
      <c r="L54" s="166">
        <f t="shared" si="3"/>
        <v>33750</v>
      </c>
      <c r="M54" s="166">
        <f t="shared" si="4"/>
        <v>33750</v>
      </c>
      <c r="N54" s="166">
        <f t="shared" si="5"/>
        <v>33750</v>
      </c>
      <c r="O54" s="31" t="s">
        <v>34</v>
      </c>
      <c r="P54" s="22">
        <v>98</v>
      </c>
      <c r="Q54" s="22">
        <v>2071</v>
      </c>
      <c r="R54" s="22">
        <v>2</v>
      </c>
      <c r="S54" s="22">
        <v>2</v>
      </c>
      <c r="T54" s="22">
        <v>2</v>
      </c>
      <c r="U54" s="22"/>
    </row>
    <row r="55" spans="1:25" s="7" customFormat="1" ht="35.1" customHeight="1" thickBot="1" x14ac:dyDescent="0.3">
      <c r="B55" s="302"/>
      <c r="C55" s="302"/>
      <c r="D55" s="302"/>
      <c r="E55" s="348"/>
      <c r="F55" s="348"/>
      <c r="G55" s="110" t="s">
        <v>98</v>
      </c>
      <c r="H55" s="22">
        <v>20</v>
      </c>
      <c r="I55" s="166">
        <v>100.42</v>
      </c>
      <c r="J55" s="162">
        <f t="shared" si="0"/>
        <v>2008.4</v>
      </c>
      <c r="K55" s="166">
        <f t="shared" si="2"/>
        <v>502.1</v>
      </c>
      <c r="L55" s="166">
        <f t="shared" si="3"/>
        <v>502.1</v>
      </c>
      <c r="M55" s="166">
        <f t="shared" si="4"/>
        <v>502.1</v>
      </c>
      <c r="N55" s="166">
        <f t="shared" si="5"/>
        <v>502.1</v>
      </c>
      <c r="O55" s="31" t="s">
        <v>34</v>
      </c>
      <c r="P55" s="22">
        <v>98</v>
      </c>
      <c r="Q55" s="22">
        <v>2071</v>
      </c>
      <c r="R55" s="22">
        <v>3</v>
      </c>
      <c r="S55" s="22">
        <v>9</v>
      </c>
      <c r="T55" s="22">
        <v>2</v>
      </c>
      <c r="U55" s="22"/>
    </row>
    <row r="56" spans="1:25" s="7" customFormat="1" ht="37.5" customHeight="1" thickBot="1" x14ac:dyDescent="0.3">
      <c r="B56" s="31" t="s">
        <v>79</v>
      </c>
      <c r="C56" s="31" t="s">
        <v>80</v>
      </c>
      <c r="D56" s="31">
        <v>6</v>
      </c>
      <c r="E56" s="299" t="s">
        <v>101</v>
      </c>
      <c r="F56" s="299"/>
      <c r="G56" s="110" t="s">
        <v>102</v>
      </c>
      <c r="H56" s="103">
        <v>20</v>
      </c>
      <c r="I56" s="167">
        <v>228</v>
      </c>
      <c r="J56" s="162">
        <f t="shared" si="0"/>
        <v>4560</v>
      </c>
      <c r="K56" s="167">
        <f t="shared" si="2"/>
        <v>1140</v>
      </c>
      <c r="L56" s="167">
        <f t="shared" si="3"/>
        <v>1140</v>
      </c>
      <c r="M56" s="167">
        <f t="shared" si="4"/>
        <v>1140</v>
      </c>
      <c r="N56" s="167">
        <f t="shared" si="5"/>
        <v>1140</v>
      </c>
      <c r="O56" s="31" t="s">
        <v>34</v>
      </c>
      <c r="P56" s="22">
        <v>98</v>
      </c>
      <c r="Q56" s="22">
        <v>2071</v>
      </c>
      <c r="R56" s="22">
        <v>3</v>
      </c>
      <c r="S56" s="22">
        <v>3</v>
      </c>
      <c r="T56" s="22">
        <v>1</v>
      </c>
      <c r="U56" s="22"/>
    </row>
    <row r="57" spans="1:25" s="7" customFormat="1" ht="31.5" customHeight="1" thickBot="1" x14ac:dyDescent="0.3">
      <c r="A57" s="9"/>
      <c r="B57" s="302" t="s">
        <v>79</v>
      </c>
      <c r="C57" s="302" t="s">
        <v>80</v>
      </c>
      <c r="D57" s="302">
        <v>6</v>
      </c>
      <c r="E57" s="330" t="s">
        <v>89</v>
      </c>
      <c r="F57" s="324"/>
      <c r="G57" s="110" t="s">
        <v>103</v>
      </c>
      <c r="H57" s="31">
        <v>20</v>
      </c>
      <c r="I57" s="162">
        <v>1625</v>
      </c>
      <c r="J57" s="162">
        <f t="shared" si="0"/>
        <v>32500</v>
      </c>
      <c r="K57" s="110">
        <f t="shared" si="2"/>
        <v>8125</v>
      </c>
      <c r="L57" s="110">
        <v>8125</v>
      </c>
      <c r="M57" s="110">
        <v>8125</v>
      </c>
      <c r="N57" s="110">
        <v>8125</v>
      </c>
      <c r="O57" s="31" t="s">
        <v>34</v>
      </c>
      <c r="P57" s="22">
        <v>98</v>
      </c>
      <c r="Q57" s="22">
        <v>2071</v>
      </c>
      <c r="R57" s="22">
        <v>2</v>
      </c>
      <c r="S57" s="22">
        <v>3</v>
      </c>
      <c r="T57" s="22">
        <v>1</v>
      </c>
      <c r="U57" s="22"/>
    </row>
    <row r="58" spans="1:25" s="7" customFormat="1" ht="34.5" customHeight="1" thickBot="1" x14ac:dyDescent="0.3">
      <c r="B58" s="302"/>
      <c r="C58" s="302"/>
      <c r="D58" s="302"/>
      <c r="E58" s="324"/>
      <c r="F58" s="324"/>
      <c r="G58" s="112" t="s">
        <v>91</v>
      </c>
      <c r="H58" s="53">
        <v>600</v>
      </c>
      <c r="I58" s="168">
        <v>240</v>
      </c>
      <c r="J58" s="162">
        <f t="shared" si="0"/>
        <v>144000</v>
      </c>
      <c r="K58" s="169">
        <f>144000/4</f>
        <v>36000</v>
      </c>
      <c r="L58" s="169">
        <v>36000</v>
      </c>
      <c r="M58" s="169">
        <v>36000</v>
      </c>
      <c r="N58" s="169">
        <v>36000</v>
      </c>
      <c r="O58" s="31" t="s">
        <v>34</v>
      </c>
      <c r="P58" s="22">
        <v>98</v>
      </c>
      <c r="Q58" s="22">
        <v>2071</v>
      </c>
      <c r="R58" s="22">
        <v>3</v>
      </c>
      <c r="S58" s="22">
        <v>7</v>
      </c>
      <c r="T58" s="22">
        <v>1</v>
      </c>
      <c r="U58" s="22">
        <v>2</v>
      </c>
    </row>
    <row r="59" spans="1:25" s="7" customFormat="1" ht="25.5" customHeight="1" thickBot="1" x14ac:dyDescent="0.3">
      <c r="B59" s="302"/>
      <c r="C59" s="302"/>
      <c r="D59" s="302"/>
      <c r="E59" s="324"/>
      <c r="F59" s="324"/>
      <c r="G59" s="112" t="s">
        <v>94</v>
      </c>
      <c r="H59" s="104">
        <v>15</v>
      </c>
      <c r="I59" s="170">
        <v>40</v>
      </c>
      <c r="J59" s="162">
        <f t="shared" si="0"/>
        <v>600</v>
      </c>
      <c r="K59" s="112">
        <f>+I59*H59/4</f>
        <v>150</v>
      </c>
      <c r="L59" s="112">
        <v>150</v>
      </c>
      <c r="M59" s="112">
        <v>150</v>
      </c>
      <c r="N59" s="112">
        <v>150</v>
      </c>
      <c r="O59" s="31" t="s">
        <v>34</v>
      </c>
      <c r="P59" s="22">
        <v>98</v>
      </c>
      <c r="Q59" s="22">
        <v>2071</v>
      </c>
      <c r="R59" s="22">
        <v>2</v>
      </c>
      <c r="S59" s="22">
        <v>4</v>
      </c>
      <c r="T59" s="22">
        <v>4</v>
      </c>
      <c r="U59" s="22"/>
    </row>
    <row r="60" spans="1:25" s="7" customFormat="1" x14ac:dyDescent="0.25">
      <c r="J60" s="64"/>
    </row>
    <row r="61" spans="1:25" s="7" customFormat="1" x14ac:dyDescent="0.25">
      <c r="B61" s="66"/>
      <c r="C61" s="66"/>
      <c r="D61" s="66"/>
      <c r="E61" s="66"/>
      <c r="F61" s="66"/>
      <c r="G61" s="66"/>
      <c r="H61" s="67"/>
      <c r="I61" s="67"/>
      <c r="J61" s="68"/>
      <c r="K61" s="67"/>
      <c r="L61" s="67"/>
      <c r="M61" s="67"/>
      <c r="N61" s="69"/>
      <c r="O61" s="69"/>
      <c r="P61" s="69"/>
      <c r="Q61" s="69"/>
      <c r="R61" s="69"/>
      <c r="S61" s="69"/>
      <c r="T61" s="69"/>
      <c r="U61" s="70"/>
    </row>
    <row r="62" spans="1:25" s="7" customFormat="1" ht="18" thickBot="1" x14ac:dyDescent="0.35">
      <c r="B62" s="295" t="s">
        <v>77</v>
      </c>
      <c r="C62" s="295"/>
      <c r="D62" s="295"/>
      <c r="E62" s="295"/>
      <c r="F62" s="295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</row>
    <row r="63" spans="1:25" s="7" customFormat="1" ht="15.75" customHeight="1" thickTop="1" thickBot="1" x14ac:dyDescent="0.3">
      <c r="B63" s="296" t="s">
        <v>0</v>
      </c>
      <c r="C63" s="296"/>
      <c r="D63" s="296"/>
      <c r="E63" s="296" t="s">
        <v>1</v>
      </c>
      <c r="F63" s="296" t="s">
        <v>2</v>
      </c>
      <c r="G63" s="319" t="s">
        <v>3</v>
      </c>
      <c r="H63" s="319" t="s">
        <v>4</v>
      </c>
      <c r="I63" s="319" t="s">
        <v>5</v>
      </c>
      <c r="J63" s="319" t="s">
        <v>6</v>
      </c>
      <c r="K63" s="319" t="s">
        <v>7</v>
      </c>
      <c r="L63" s="319"/>
      <c r="M63" s="319"/>
      <c r="N63" s="319"/>
      <c r="O63" s="296" t="s">
        <v>8</v>
      </c>
      <c r="P63" s="296" t="s">
        <v>9</v>
      </c>
      <c r="Q63" s="296"/>
      <c r="R63" s="296"/>
      <c r="S63" s="296"/>
      <c r="T63" s="296"/>
      <c r="U63" s="296"/>
    </row>
    <row r="64" spans="1:25" s="7" customFormat="1" ht="37.5" customHeight="1" thickTop="1" thickBot="1" x14ac:dyDescent="0.3">
      <c r="B64" s="32" t="s">
        <v>10</v>
      </c>
      <c r="C64" s="32" t="s">
        <v>11</v>
      </c>
      <c r="D64" s="32" t="s">
        <v>12</v>
      </c>
      <c r="E64" s="296"/>
      <c r="F64" s="296"/>
      <c r="G64" s="319"/>
      <c r="H64" s="319"/>
      <c r="I64" s="319"/>
      <c r="J64" s="319"/>
      <c r="K64" s="12" t="s">
        <v>13</v>
      </c>
      <c r="L64" s="12" t="s">
        <v>14</v>
      </c>
      <c r="M64" s="12" t="s">
        <v>116</v>
      </c>
      <c r="N64" s="12" t="s">
        <v>15</v>
      </c>
      <c r="O64" s="296"/>
      <c r="P64" s="296"/>
      <c r="Q64" s="296"/>
      <c r="R64" s="296"/>
      <c r="S64" s="296"/>
      <c r="T64" s="296"/>
      <c r="U64" s="296"/>
    </row>
    <row r="65" spans="2:25" s="7" customFormat="1" ht="207" customHeight="1" thickTop="1" thickBot="1" x14ac:dyDescent="0.3">
      <c r="B65" s="116" t="s">
        <v>79</v>
      </c>
      <c r="C65" s="116" t="s">
        <v>105</v>
      </c>
      <c r="D65" s="71">
        <v>6</v>
      </c>
      <c r="E65" s="115" t="s">
        <v>104</v>
      </c>
      <c r="F65" s="72" t="s">
        <v>39</v>
      </c>
      <c r="G65" s="71" t="s">
        <v>40</v>
      </c>
      <c r="H65" s="71" t="s">
        <v>18</v>
      </c>
      <c r="I65" s="73">
        <v>408</v>
      </c>
      <c r="J65" s="71">
        <f>711+15</f>
        <v>726</v>
      </c>
      <c r="K65" s="71">
        <v>508</v>
      </c>
      <c r="L65" s="71">
        <v>508</v>
      </c>
      <c r="M65" s="71">
        <v>726</v>
      </c>
      <c r="N65" s="71">
        <v>711</v>
      </c>
      <c r="O65" s="114">
        <f>SUM(J70:J78)</f>
        <v>32154860</v>
      </c>
      <c r="P65" s="343" t="s">
        <v>232</v>
      </c>
      <c r="Q65" s="344"/>
      <c r="R65" s="344"/>
      <c r="S65" s="344"/>
      <c r="T65" s="344"/>
      <c r="U65" s="345"/>
    </row>
    <row r="66" spans="2:25" s="121" customFormat="1" x14ac:dyDescent="0.25">
      <c r="B66" s="117"/>
      <c r="C66" s="117"/>
      <c r="D66" s="117"/>
      <c r="E66" s="118"/>
      <c r="F66" s="119"/>
      <c r="G66" s="117"/>
      <c r="H66" s="117"/>
      <c r="I66" s="120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</row>
    <row r="67" spans="2:25" s="7" customFormat="1" ht="18" thickBot="1" x14ac:dyDescent="0.35">
      <c r="B67" s="295" t="s">
        <v>78</v>
      </c>
      <c r="C67" s="295"/>
      <c r="D67" s="295"/>
      <c r="E67" s="295"/>
      <c r="F67" s="295"/>
      <c r="G67" s="48"/>
      <c r="H67" s="48"/>
      <c r="I67" s="48"/>
      <c r="J67" s="48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</row>
    <row r="68" spans="2:25" s="7" customFormat="1" ht="18" customHeight="1" thickTop="1" thickBot="1" x14ac:dyDescent="0.3">
      <c r="B68" s="296" t="s">
        <v>0</v>
      </c>
      <c r="C68" s="296"/>
      <c r="D68" s="296"/>
      <c r="E68" s="296" t="s">
        <v>19</v>
      </c>
      <c r="F68" s="296"/>
      <c r="G68" s="319" t="s">
        <v>20</v>
      </c>
      <c r="H68" s="319"/>
      <c r="I68" s="319"/>
      <c r="J68" s="319"/>
      <c r="K68" s="319" t="s">
        <v>21</v>
      </c>
      <c r="L68" s="319"/>
      <c r="M68" s="319"/>
      <c r="N68" s="319"/>
      <c r="O68" s="296" t="s">
        <v>22</v>
      </c>
      <c r="P68" s="319" t="s">
        <v>23</v>
      </c>
      <c r="Q68" s="319"/>
      <c r="R68" s="319"/>
      <c r="S68" s="319"/>
      <c r="T68" s="319"/>
      <c r="U68" s="319"/>
    </row>
    <row r="69" spans="2:25" s="7" customFormat="1" ht="57" customHeight="1" thickTop="1" thickBot="1" x14ac:dyDescent="0.3">
      <c r="B69" s="124" t="s">
        <v>10</v>
      </c>
      <c r="C69" s="124" t="s">
        <v>11</v>
      </c>
      <c r="D69" s="124" t="s">
        <v>12</v>
      </c>
      <c r="E69" s="341"/>
      <c r="F69" s="341"/>
      <c r="G69" s="125" t="s">
        <v>41</v>
      </c>
      <c r="H69" s="125" t="s">
        <v>24</v>
      </c>
      <c r="I69" s="125" t="s">
        <v>25</v>
      </c>
      <c r="J69" s="125" t="s">
        <v>26</v>
      </c>
      <c r="K69" s="125" t="s">
        <v>13</v>
      </c>
      <c r="L69" s="125" t="s">
        <v>14</v>
      </c>
      <c r="M69" s="125" t="s">
        <v>116</v>
      </c>
      <c r="N69" s="125" t="s">
        <v>15</v>
      </c>
      <c r="O69" s="341"/>
      <c r="P69" s="126" t="s">
        <v>27</v>
      </c>
      <c r="Q69" s="126" t="s">
        <v>28</v>
      </c>
      <c r="R69" s="126" t="s">
        <v>29</v>
      </c>
      <c r="S69" s="126" t="s">
        <v>30</v>
      </c>
      <c r="T69" s="126" t="s">
        <v>31</v>
      </c>
      <c r="U69" s="126" t="s">
        <v>32</v>
      </c>
    </row>
    <row r="70" spans="2:25" s="7" customFormat="1" ht="80.25" customHeight="1" thickTop="1" thickBot="1" x14ac:dyDescent="0.3">
      <c r="B70" s="122" t="s">
        <v>79</v>
      </c>
      <c r="C70" s="122" t="s">
        <v>80</v>
      </c>
      <c r="D70" s="122">
        <v>6</v>
      </c>
      <c r="E70" s="298" t="s">
        <v>110</v>
      </c>
      <c r="F70" s="298"/>
      <c r="G70" s="197" t="s">
        <v>265</v>
      </c>
      <c r="H70" s="122">
        <v>508</v>
      </c>
      <c r="I70" s="128">
        <f>4000*6</f>
        <v>24000</v>
      </c>
      <c r="J70" s="220">
        <f>+H70*I70</f>
        <v>12192000</v>
      </c>
      <c r="K70" s="127">
        <f>+J70/2</f>
        <v>6096000</v>
      </c>
      <c r="L70" s="127">
        <f>+K70</f>
        <v>6096000</v>
      </c>
      <c r="M70" s="127">
        <v>0</v>
      </c>
      <c r="N70" s="127">
        <v>0</v>
      </c>
      <c r="O70" s="122" t="s">
        <v>42</v>
      </c>
      <c r="P70" s="22">
        <v>98</v>
      </c>
      <c r="Q70" s="22">
        <v>2071</v>
      </c>
      <c r="R70" s="22">
        <v>4</v>
      </c>
      <c r="S70" s="22">
        <v>1</v>
      </c>
      <c r="T70" s="22">
        <v>4</v>
      </c>
      <c r="U70" s="22">
        <v>1</v>
      </c>
    </row>
    <row r="71" spans="2:25" s="7" customFormat="1" ht="66" customHeight="1" thickBot="1" x14ac:dyDescent="0.3">
      <c r="B71" s="35" t="s">
        <v>79</v>
      </c>
      <c r="C71" s="35" t="s">
        <v>80</v>
      </c>
      <c r="D71" s="35">
        <v>6</v>
      </c>
      <c r="E71" s="299" t="s">
        <v>111</v>
      </c>
      <c r="F71" s="299"/>
      <c r="G71" s="77" t="s">
        <v>266</v>
      </c>
      <c r="H71" s="35">
        <v>711</v>
      </c>
      <c r="I71" s="96">
        <f>4000*6</f>
        <v>24000</v>
      </c>
      <c r="J71" s="159">
        <f>+H71*I71</f>
        <v>17064000</v>
      </c>
      <c r="K71" s="97">
        <v>0</v>
      </c>
      <c r="L71" s="97">
        <v>0</v>
      </c>
      <c r="M71" s="97">
        <f>+J71/2</f>
        <v>8532000</v>
      </c>
      <c r="N71" s="97">
        <f>+M71</f>
        <v>8532000</v>
      </c>
      <c r="O71" s="196" t="s">
        <v>42</v>
      </c>
      <c r="P71" s="22">
        <v>98</v>
      </c>
      <c r="Q71" s="22">
        <v>2071</v>
      </c>
      <c r="R71" s="22">
        <v>4</v>
      </c>
      <c r="S71" s="22">
        <v>1</v>
      </c>
      <c r="T71" s="22">
        <v>4</v>
      </c>
      <c r="U71" s="22">
        <v>1</v>
      </c>
      <c r="Y71" s="64"/>
    </row>
    <row r="72" spans="2:25" s="7" customFormat="1" ht="44.25" customHeight="1" thickBot="1" x14ac:dyDescent="0.3">
      <c r="B72" s="302" t="s">
        <v>79</v>
      </c>
      <c r="C72" s="302" t="s">
        <v>80</v>
      </c>
      <c r="D72" s="302">
        <v>6</v>
      </c>
      <c r="E72" s="299" t="s">
        <v>108</v>
      </c>
      <c r="F72" s="299"/>
      <c r="G72" s="130" t="s">
        <v>256</v>
      </c>
      <c r="H72" s="104">
        <v>711</v>
      </c>
      <c r="I72" s="107">
        <v>500</v>
      </c>
      <c r="J72" s="159">
        <f t="shared" ref="J72:J78" si="6">SUM(K72:N72)</f>
        <v>355500</v>
      </c>
      <c r="K72" s="52">
        <f>+I72*H72/4</f>
        <v>88875</v>
      </c>
      <c r="L72" s="52">
        <v>88875</v>
      </c>
      <c r="M72" s="52">
        <v>88875</v>
      </c>
      <c r="N72" s="52">
        <v>88875</v>
      </c>
      <c r="O72" s="104" t="s">
        <v>34</v>
      </c>
      <c r="P72" s="22">
        <v>98</v>
      </c>
      <c r="Q72" s="22">
        <v>2071</v>
      </c>
      <c r="R72" s="22">
        <v>3</v>
      </c>
      <c r="S72" s="22">
        <v>2</v>
      </c>
      <c r="T72" s="22">
        <v>2</v>
      </c>
      <c r="U72" s="22"/>
      <c r="Y72" s="64"/>
    </row>
    <row r="73" spans="2:25" s="7" customFormat="1" ht="48.75" customHeight="1" thickBot="1" x14ac:dyDescent="0.3">
      <c r="B73" s="302"/>
      <c r="C73" s="302"/>
      <c r="D73" s="302"/>
      <c r="E73" s="299"/>
      <c r="F73" s="299"/>
      <c r="G73" s="130" t="s">
        <v>267</v>
      </c>
      <c r="H73" s="104">
        <v>711</v>
      </c>
      <c r="I73" s="107">
        <v>2100</v>
      </c>
      <c r="J73" s="159">
        <f t="shared" si="6"/>
        <v>1493100</v>
      </c>
      <c r="K73" s="52">
        <f>+I73*H73/4</f>
        <v>373275</v>
      </c>
      <c r="L73" s="52">
        <f>+K73</f>
        <v>373275</v>
      </c>
      <c r="M73" s="52">
        <f>+L73</f>
        <v>373275</v>
      </c>
      <c r="N73" s="52">
        <f>+M73</f>
        <v>373275</v>
      </c>
      <c r="O73" s="104" t="s">
        <v>34</v>
      </c>
      <c r="P73" s="22">
        <v>98</v>
      </c>
      <c r="Q73" s="22">
        <v>2071</v>
      </c>
      <c r="R73" s="22">
        <v>3</v>
      </c>
      <c r="S73" s="22">
        <v>2</v>
      </c>
      <c r="T73" s="22">
        <v>3</v>
      </c>
      <c r="U73" s="22"/>
    </row>
    <row r="74" spans="2:25" s="7" customFormat="1" ht="78.75" customHeight="1" thickBot="1" x14ac:dyDescent="0.3">
      <c r="B74" s="301" t="s">
        <v>79</v>
      </c>
      <c r="C74" s="301" t="s">
        <v>80</v>
      </c>
      <c r="D74" s="300">
        <v>6</v>
      </c>
      <c r="E74" s="299" t="s">
        <v>109</v>
      </c>
      <c r="F74" s="299"/>
      <c r="G74" s="77" t="s">
        <v>268</v>
      </c>
      <c r="H74" s="35">
        <v>1</v>
      </c>
      <c r="I74" s="96">
        <v>300000</v>
      </c>
      <c r="J74" s="159">
        <f t="shared" si="6"/>
        <v>300000</v>
      </c>
      <c r="K74" s="97">
        <v>0</v>
      </c>
      <c r="L74" s="97">
        <f>+I74*H74</f>
        <v>300000</v>
      </c>
      <c r="M74" s="97">
        <v>0</v>
      </c>
      <c r="N74" s="97">
        <v>0</v>
      </c>
      <c r="O74" s="35" t="s">
        <v>42</v>
      </c>
      <c r="P74" s="22">
        <v>98</v>
      </c>
      <c r="Q74" s="22">
        <v>2071</v>
      </c>
      <c r="R74" s="22">
        <v>2</v>
      </c>
      <c r="S74" s="22">
        <v>8</v>
      </c>
      <c r="T74" s="22">
        <v>6</v>
      </c>
      <c r="U74" s="22">
        <v>1</v>
      </c>
    </row>
    <row r="75" spans="2:25" s="7" customFormat="1" ht="31.5" customHeight="1" thickBot="1" x14ac:dyDescent="0.3">
      <c r="B75" s="301"/>
      <c r="C75" s="301"/>
      <c r="D75" s="300"/>
      <c r="E75" s="299"/>
      <c r="F75" s="299"/>
      <c r="G75" s="77" t="s">
        <v>257</v>
      </c>
      <c r="H75" s="35">
        <v>15</v>
      </c>
      <c r="I75" s="96">
        <f>334500/15</f>
        <v>22300</v>
      </c>
      <c r="J75" s="159">
        <f t="shared" si="6"/>
        <v>334500</v>
      </c>
      <c r="K75" s="97">
        <v>0</v>
      </c>
      <c r="L75" s="97">
        <f>+I75*H75</f>
        <v>334500</v>
      </c>
      <c r="M75" s="97">
        <v>0</v>
      </c>
      <c r="N75" s="97">
        <v>0</v>
      </c>
      <c r="O75" s="35" t="s">
        <v>42</v>
      </c>
      <c r="P75" s="22">
        <v>98</v>
      </c>
      <c r="Q75" s="22">
        <v>2071</v>
      </c>
      <c r="R75" s="22">
        <v>6</v>
      </c>
      <c r="S75" s="22">
        <v>1</v>
      </c>
      <c r="T75" s="22">
        <v>4</v>
      </c>
      <c r="U75" s="22"/>
    </row>
    <row r="76" spans="2:25" s="7" customFormat="1" ht="27.75" customHeight="1" thickBot="1" x14ac:dyDescent="0.3">
      <c r="B76" s="301"/>
      <c r="C76" s="301"/>
      <c r="D76" s="300"/>
      <c r="E76" s="299"/>
      <c r="F76" s="299"/>
      <c r="G76" s="77" t="s">
        <v>106</v>
      </c>
      <c r="H76" s="35">
        <v>3</v>
      </c>
      <c r="I76" s="96">
        <v>36666.67</v>
      </c>
      <c r="J76" s="159">
        <v>110000</v>
      </c>
      <c r="K76" s="97"/>
      <c r="L76" s="97">
        <f>+I76*H76</f>
        <v>110000.01</v>
      </c>
      <c r="M76" s="97"/>
      <c r="N76" s="97"/>
      <c r="O76" s="35" t="s">
        <v>42</v>
      </c>
      <c r="P76" s="22">
        <v>98</v>
      </c>
      <c r="Q76" s="22">
        <v>2071</v>
      </c>
      <c r="R76" s="22">
        <v>3</v>
      </c>
      <c r="S76" s="22">
        <v>6</v>
      </c>
      <c r="T76" s="22">
        <v>3</v>
      </c>
      <c r="U76" s="22">
        <v>6</v>
      </c>
    </row>
    <row r="77" spans="2:25" s="7" customFormat="1" ht="30.75" customHeight="1" thickBot="1" x14ac:dyDescent="0.3">
      <c r="B77" s="301"/>
      <c r="C77" s="301"/>
      <c r="D77" s="300"/>
      <c r="E77" s="299"/>
      <c r="F77" s="299"/>
      <c r="G77" s="93" t="s">
        <v>258</v>
      </c>
      <c r="H77" s="22">
        <v>24</v>
      </c>
      <c r="I77" s="96">
        <v>240</v>
      </c>
      <c r="J77" s="159">
        <f t="shared" si="6"/>
        <v>5760</v>
      </c>
      <c r="K77" s="97"/>
      <c r="L77" s="97">
        <f>+I77*H77</f>
        <v>5760</v>
      </c>
      <c r="M77" s="97"/>
      <c r="N77" s="97"/>
      <c r="O77" s="35" t="s">
        <v>42</v>
      </c>
      <c r="P77" s="22">
        <v>98</v>
      </c>
      <c r="Q77" s="22">
        <v>2071</v>
      </c>
      <c r="R77" s="22">
        <v>3</v>
      </c>
      <c r="S77" s="22">
        <v>7</v>
      </c>
      <c r="T77" s="22">
        <v>1</v>
      </c>
      <c r="U77" s="22">
        <v>2</v>
      </c>
    </row>
    <row r="78" spans="2:25" s="7" customFormat="1" ht="40.5" customHeight="1" thickBot="1" x14ac:dyDescent="0.3">
      <c r="B78" s="301"/>
      <c r="C78" s="301"/>
      <c r="D78" s="300"/>
      <c r="E78" s="299"/>
      <c r="F78" s="299"/>
      <c r="G78" s="93" t="s">
        <v>249</v>
      </c>
      <c r="H78" s="123">
        <v>1</v>
      </c>
      <c r="I78" s="96">
        <v>300000</v>
      </c>
      <c r="J78" s="106">
        <f t="shared" si="6"/>
        <v>300000</v>
      </c>
      <c r="K78" s="97"/>
      <c r="L78" s="97">
        <f>+I78*H78</f>
        <v>300000</v>
      </c>
      <c r="M78" s="97"/>
      <c r="N78" s="97"/>
      <c r="O78" s="35" t="s">
        <v>42</v>
      </c>
      <c r="P78" s="22">
        <v>98</v>
      </c>
      <c r="Q78" s="22">
        <v>2071</v>
      </c>
      <c r="R78" s="104">
        <v>2</v>
      </c>
      <c r="S78" s="104">
        <v>8</v>
      </c>
      <c r="T78" s="104">
        <v>6</v>
      </c>
      <c r="U78" s="104">
        <v>4</v>
      </c>
    </row>
    <row r="79" spans="2:25" s="7" customFormat="1" x14ac:dyDescent="0.25">
      <c r="B79" s="66"/>
      <c r="C79" s="66"/>
      <c r="D79" s="66"/>
      <c r="E79" s="66"/>
      <c r="F79" s="66"/>
      <c r="G79" s="66"/>
      <c r="H79" s="67"/>
      <c r="I79" s="67"/>
      <c r="J79" s="68"/>
      <c r="K79" s="67"/>
      <c r="L79" s="67"/>
      <c r="M79" s="67"/>
      <c r="N79" s="69"/>
      <c r="O79" s="69"/>
      <c r="P79" s="69"/>
      <c r="Q79" s="69"/>
      <c r="R79" s="69"/>
      <c r="S79" s="69"/>
      <c r="T79" s="69"/>
      <c r="U79" s="70"/>
    </row>
    <row r="80" spans="2:25" s="7" customFormat="1" x14ac:dyDescent="0.25"/>
    <row r="81" spans="1:22" s="7" customFormat="1" ht="22.5" customHeight="1" thickBot="1" x14ac:dyDescent="0.35">
      <c r="B81" s="295" t="s">
        <v>77</v>
      </c>
      <c r="C81" s="295"/>
      <c r="D81" s="295"/>
      <c r="E81" s="295"/>
      <c r="F81" s="295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</row>
    <row r="82" spans="1:22" s="7" customFormat="1" ht="23.25" customHeight="1" thickTop="1" thickBot="1" x14ac:dyDescent="0.3">
      <c r="B82" s="339" t="s">
        <v>0</v>
      </c>
      <c r="C82" s="339"/>
      <c r="D82" s="339"/>
      <c r="E82" s="339" t="s">
        <v>1</v>
      </c>
      <c r="F82" s="339" t="s">
        <v>2</v>
      </c>
      <c r="G82" s="340" t="s">
        <v>3</v>
      </c>
      <c r="H82" s="340" t="s">
        <v>4</v>
      </c>
      <c r="I82" s="340" t="s">
        <v>5</v>
      </c>
      <c r="J82" s="340" t="s">
        <v>6</v>
      </c>
      <c r="K82" s="340" t="s">
        <v>7</v>
      </c>
      <c r="L82" s="340"/>
      <c r="M82" s="340"/>
      <c r="N82" s="340"/>
      <c r="O82" s="339" t="s">
        <v>8</v>
      </c>
      <c r="P82" s="339" t="s">
        <v>9</v>
      </c>
      <c r="Q82" s="339"/>
      <c r="R82" s="339"/>
      <c r="S82" s="339"/>
      <c r="T82" s="339"/>
      <c r="U82" s="339"/>
    </row>
    <row r="83" spans="1:22" s="7" customFormat="1" ht="34.5" customHeight="1" thickTop="1" thickBot="1" x14ac:dyDescent="0.3">
      <c r="B83" s="142" t="s">
        <v>10</v>
      </c>
      <c r="C83" s="142" t="s">
        <v>11</v>
      </c>
      <c r="D83" s="142" t="s">
        <v>12</v>
      </c>
      <c r="E83" s="339"/>
      <c r="F83" s="339"/>
      <c r="G83" s="340"/>
      <c r="H83" s="340"/>
      <c r="I83" s="340"/>
      <c r="J83" s="340"/>
      <c r="K83" s="74" t="s">
        <v>13</v>
      </c>
      <c r="L83" s="74" t="s">
        <v>14</v>
      </c>
      <c r="M83" s="74" t="s">
        <v>116</v>
      </c>
      <c r="N83" s="74" t="s">
        <v>15</v>
      </c>
      <c r="O83" s="339"/>
      <c r="P83" s="339"/>
      <c r="Q83" s="339"/>
      <c r="R83" s="339"/>
      <c r="S83" s="339"/>
      <c r="T83" s="339"/>
      <c r="U83" s="339"/>
    </row>
    <row r="84" spans="1:22" s="7" customFormat="1" ht="230.25" customHeight="1" thickTop="1" thickBot="1" x14ac:dyDescent="0.3">
      <c r="B84" s="47" t="s">
        <v>79</v>
      </c>
      <c r="C84" s="47" t="s">
        <v>80</v>
      </c>
      <c r="D84" s="47">
        <v>6</v>
      </c>
      <c r="E84" s="41" t="s">
        <v>112</v>
      </c>
      <c r="F84" s="42" t="s">
        <v>43</v>
      </c>
      <c r="G84" s="47" t="s">
        <v>44</v>
      </c>
      <c r="H84" s="47" t="s">
        <v>18</v>
      </c>
      <c r="I84" s="60">
        <v>505</v>
      </c>
      <c r="J84" s="47">
        <f>SUM(K84:N84)</f>
        <v>400</v>
      </c>
      <c r="K84" s="44">
        <v>0</v>
      </c>
      <c r="L84" s="44">
        <v>160</v>
      </c>
      <c r="M84" s="44">
        <v>120</v>
      </c>
      <c r="N84" s="45">
        <v>120</v>
      </c>
      <c r="O84" s="46">
        <f>SUM(J89:J90)</f>
        <v>14004560</v>
      </c>
      <c r="P84" s="316" t="s">
        <v>45</v>
      </c>
      <c r="Q84" s="317"/>
      <c r="R84" s="317"/>
      <c r="S84" s="317"/>
      <c r="T84" s="317"/>
      <c r="U84" s="318"/>
    </row>
    <row r="85" spans="1:22" s="7" customFormat="1" x14ac:dyDescent="0.25"/>
    <row r="86" spans="1:22" s="7" customFormat="1" ht="18" thickBot="1" x14ac:dyDescent="0.35">
      <c r="B86" s="295" t="s">
        <v>78</v>
      </c>
      <c r="C86" s="295"/>
      <c r="D86" s="295"/>
      <c r="E86" s="295"/>
      <c r="F86" s="295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</row>
    <row r="87" spans="1:22" s="7" customFormat="1" ht="15.75" customHeight="1" thickTop="1" thickBot="1" x14ac:dyDescent="0.3">
      <c r="B87" s="296" t="s">
        <v>0</v>
      </c>
      <c r="C87" s="296"/>
      <c r="D87" s="296"/>
      <c r="E87" s="296" t="s">
        <v>19</v>
      </c>
      <c r="F87" s="296"/>
      <c r="G87" s="319" t="s">
        <v>20</v>
      </c>
      <c r="H87" s="319"/>
      <c r="I87" s="319"/>
      <c r="J87" s="319"/>
      <c r="K87" s="319" t="s">
        <v>21</v>
      </c>
      <c r="L87" s="319"/>
      <c r="M87" s="319"/>
      <c r="N87" s="319"/>
      <c r="O87" s="296" t="s">
        <v>22</v>
      </c>
      <c r="P87" s="319" t="s">
        <v>23</v>
      </c>
      <c r="Q87" s="319"/>
      <c r="R87" s="319"/>
      <c r="S87" s="319"/>
      <c r="T87" s="319"/>
      <c r="U87" s="319"/>
    </row>
    <row r="88" spans="1:22" s="7" customFormat="1" ht="61.5" customHeight="1" thickTop="1" thickBot="1" x14ac:dyDescent="0.3">
      <c r="B88" s="34" t="s">
        <v>10</v>
      </c>
      <c r="C88" s="34" t="s">
        <v>11</v>
      </c>
      <c r="D88" s="34" t="s">
        <v>12</v>
      </c>
      <c r="E88" s="296"/>
      <c r="F88" s="296"/>
      <c r="G88" s="12" t="s">
        <v>36</v>
      </c>
      <c r="H88" s="12" t="s">
        <v>24</v>
      </c>
      <c r="I88" s="12" t="s">
        <v>25</v>
      </c>
      <c r="J88" s="12" t="s">
        <v>26</v>
      </c>
      <c r="K88" s="12" t="s">
        <v>13</v>
      </c>
      <c r="L88" s="12" t="s">
        <v>14</v>
      </c>
      <c r="M88" s="12" t="s">
        <v>116</v>
      </c>
      <c r="N88" s="12" t="s">
        <v>15</v>
      </c>
      <c r="O88" s="296"/>
      <c r="P88" s="13" t="s">
        <v>27</v>
      </c>
      <c r="Q88" s="13" t="s">
        <v>28</v>
      </c>
      <c r="R88" s="13" t="s">
        <v>29</v>
      </c>
      <c r="S88" s="13" t="s">
        <v>30</v>
      </c>
      <c r="T88" s="13" t="s">
        <v>31</v>
      </c>
      <c r="U88" s="13" t="s">
        <v>32</v>
      </c>
    </row>
    <row r="89" spans="1:22" s="7" customFormat="1" ht="36.75" customHeight="1" thickTop="1" thickBot="1" x14ac:dyDescent="0.3">
      <c r="B89" s="336" t="s">
        <v>79</v>
      </c>
      <c r="C89" s="336" t="s">
        <v>80</v>
      </c>
      <c r="D89" s="336">
        <v>6</v>
      </c>
      <c r="E89" s="335" t="s">
        <v>46</v>
      </c>
      <c r="F89" s="335"/>
      <c r="G89" s="201" t="s">
        <v>248</v>
      </c>
      <c r="H89" s="132">
        <v>20</v>
      </c>
      <c r="I89" s="135">
        <v>228</v>
      </c>
      <c r="J89" s="133">
        <f>+H89*I89</f>
        <v>4560</v>
      </c>
      <c r="K89" s="133">
        <v>0</v>
      </c>
      <c r="L89" s="133">
        <f>+J89/3</f>
        <v>1520</v>
      </c>
      <c r="M89" s="133">
        <f>+J89/3</f>
        <v>1520</v>
      </c>
      <c r="N89" s="133">
        <f>+J89/3</f>
        <v>1520</v>
      </c>
      <c r="O89" s="205" t="s">
        <v>34</v>
      </c>
      <c r="P89" s="132">
        <v>98</v>
      </c>
      <c r="Q89" s="183">
        <v>2071</v>
      </c>
      <c r="R89" s="181">
        <v>3</v>
      </c>
      <c r="S89" s="181">
        <v>3</v>
      </c>
      <c r="T89" s="181">
        <v>1</v>
      </c>
      <c r="U89" s="132"/>
    </row>
    <row r="90" spans="1:22" s="7" customFormat="1" ht="29.25" customHeight="1" thickTop="1" thickBot="1" x14ac:dyDescent="0.3">
      <c r="B90" s="337"/>
      <c r="C90" s="337"/>
      <c r="D90" s="337"/>
      <c r="E90" s="327"/>
      <c r="F90" s="327"/>
      <c r="G90" s="202" t="s">
        <v>251</v>
      </c>
      <c r="H90" s="63">
        <v>400</v>
      </c>
      <c r="I90" s="136">
        <v>35000</v>
      </c>
      <c r="J90" s="133">
        <f>+H90*I90</f>
        <v>14000000</v>
      </c>
      <c r="K90" s="134">
        <f>+I90*H90/4</f>
        <v>3500000</v>
      </c>
      <c r="L90" s="134">
        <f>+K90</f>
        <v>3500000</v>
      </c>
      <c r="M90" s="134">
        <f>+L90</f>
        <v>3500000</v>
      </c>
      <c r="N90" s="134">
        <f>+M90</f>
        <v>3500000</v>
      </c>
      <c r="O90" s="63" t="s">
        <v>34</v>
      </c>
      <c r="P90" s="63">
        <v>98</v>
      </c>
      <c r="Q90" s="184">
        <v>2071</v>
      </c>
      <c r="R90" s="123">
        <v>4</v>
      </c>
      <c r="S90" s="123">
        <v>1</v>
      </c>
      <c r="T90" s="123">
        <v>4</v>
      </c>
      <c r="U90" s="123">
        <v>1</v>
      </c>
    </row>
    <row r="91" spans="1:22" s="7" customFormat="1" x14ac:dyDescent="0.25"/>
    <row r="92" spans="1:22" s="7" customFormat="1" x14ac:dyDescent="0.25"/>
    <row r="93" spans="1:22" s="7" customFormat="1" ht="18" thickBot="1" x14ac:dyDescent="0.35">
      <c r="B93" s="338" t="s">
        <v>77</v>
      </c>
      <c r="C93" s="338"/>
      <c r="D93" s="338"/>
      <c r="E93" s="338"/>
      <c r="F93" s="338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</row>
    <row r="94" spans="1:22" s="7" customFormat="1" ht="24" customHeight="1" thickTop="1" thickBot="1" x14ac:dyDescent="0.3">
      <c r="B94" s="297" t="s">
        <v>0</v>
      </c>
      <c r="C94" s="297"/>
      <c r="D94" s="297"/>
      <c r="E94" s="297" t="s">
        <v>1</v>
      </c>
      <c r="F94" s="297" t="s">
        <v>2</v>
      </c>
      <c r="G94" s="331" t="s">
        <v>3</v>
      </c>
      <c r="H94" s="331" t="s">
        <v>4</v>
      </c>
      <c r="I94" s="331" t="s">
        <v>5</v>
      </c>
      <c r="J94" s="331" t="s">
        <v>6</v>
      </c>
      <c r="K94" s="331" t="s">
        <v>7</v>
      </c>
      <c r="L94" s="331"/>
      <c r="M94" s="331"/>
      <c r="N94" s="331"/>
      <c r="O94" s="297" t="s">
        <v>8</v>
      </c>
      <c r="P94" s="297" t="s">
        <v>9</v>
      </c>
      <c r="Q94" s="297"/>
      <c r="R94" s="297"/>
      <c r="S94" s="297"/>
      <c r="T94" s="297"/>
      <c r="U94" s="297"/>
    </row>
    <row r="95" spans="1:22" s="7" customFormat="1" ht="45" customHeight="1" thickTop="1" thickBot="1" x14ac:dyDescent="0.3">
      <c r="B95" s="186" t="s">
        <v>10</v>
      </c>
      <c r="C95" s="186" t="s">
        <v>11</v>
      </c>
      <c r="D95" s="186" t="s">
        <v>12</v>
      </c>
      <c r="E95" s="297"/>
      <c r="F95" s="297"/>
      <c r="G95" s="331"/>
      <c r="H95" s="331"/>
      <c r="I95" s="331"/>
      <c r="J95" s="331"/>
      <c r="K95" s="187" t="s">
        <v>13</v>
      </c>
      <c r="L95" s="187" t="s">
        <v>14</v>
      </c>
      <c r="M95" s="187" t="s">
        <v>116</v>
      </c>
      <c r="N95" s="187" t="s">
        <v>15</v>
      </c>
      <c r="O95" s="297"/>
      <c r="P95" s="297"/>
      <c r="Q95" s="297"/>
      <c r="R95" s="297"/>
      <c r="S95" s="297"/>
      <c r="T95" s="297"/>
      <c r="U95" s="297"/>
    </row>
    <row r="96" spans="1:22" s="7" customFormat="1" ht="177" customHeight="1" thickTop="1" thickBot="1" x14ac:dyDescent="0.3">
      <c r="A96" s="15"/>
      <c r="B96" s="44" t="s">
        <v>79</v>
      </c>
      <c r="C96" s="44" t="s">
        <v>80</v>
      </c>
      <c r="D96" s="44">
        <v>6</v>
      </c>
      <c r="E96" s="188" t="s">
        <v>113</v>
      </c>
      <c r="F96" s="157" t="s">
        <v>47</v>
      </c>
      <c r="G96" s="44" t="s">
        <v>48</v>
      </c>
      <c r="H96" s="44" t="s">
        <v>18</v>
      </c>
      <c r="I96" s="180">
        <v>121</v>
      </c>
      <c r="J96" s="44">
        <f>SUM(K96:N96)</f>
        <v>445</v>
      </c>
      <c r="K96" s="44">
        <v>0</v>
      </c>
      <c r="L96" s="44">
        <v>0</v>
      </c>
      <c r="M96" s="44">
        <v>189</v>
      </c>
      <c r="N96" s="44">
        <v>256</v>
      </c>
      <c r="O96" s="44" t="s">
        <v>240</v>
      </c>
      <c r="P96" s="332" t="s">
        <v>49</v>
      </c>
      <c r="Q96" s="333"/>
      <c r="R96" s="333"/>
      <c r="S96" s="333"/>
      <c r="T96" s="333"/>
      <c r="U96" s="334"/>
      <c r="V96" s="15"/>
    </row>
    <row r="97" spans="1:26" s="7" customFormat="1" x14ac:dyDescent="0.25">
      <c r="A97" s="15"/>
    </row>
    <row r="98" spans="1:26" s="7" customFormat="1" x14ac:dyDescent="0.25">
      <c r="A98" s="15"/>
    </row>
    <row r="99" spans="1:26" s="7" customFormat="1" ht="18" thickBot="1" x14ac:dyDescent="0.35">
      <c r="A99" s="15"/>
      <c r="B99" s="295" t="s">
        <v>78</v>
      </c>
      <c r="C99" s="295"/>
      <c r="D99" s="295"/>
      <c r="E99" s="295"/>
      <c r="F99" s="295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</row>
    <row r="100" spans="1:26" s="7" customFormat="1" ht="16.5" thickTop="1" thickBot="1" x14ac:dyDescent="0.3">
      <c r="A100" s="15"/>
      <c r="B100" s="296" t="s">
        <v>0</v>
      </c>
      <c r="C100" s="296"/>
      <c r="D100" s="296"/>
      <c r="E100" s="296" t="s">
        <v>19</v>
      </c>
      <c r="F100" s="296"/>
      <c r="G100" s="319" t="s">
        <v>20</v>
      </c>
      <c r="H100" s="319"/>
      <c r="I100" s="319"/>
      <c r="J100" s="319"/>
      <c r="K100" s="319" t="s">
        <v>21</v>
      </c>
      <c r="L100" s="319"/>
      <c r="M100" s="319"/>
      <c r="N100" s="319"/>
      <c r="O100" s="296" t="s">
        <v>22</v>
      </c>
      <c r="P100" s="319" t="s">
        <v>23</v>
      </c>
      <c r="Q100" s="319"/>
      <c r="R100" s="319"/>
      <c r="S100" s="319"/>
      <c r="T100" s="319"/>
      <c r="U100" s="319"/>
    </row>
    <row r="101" spans="1:26" s="7" customFormat="1" ht="42.75" thickTop="1" thickBot="1" x14ac:dyDescent="0.3">
      <c r="A101" s="15"/>
      <c r="B101" s="179" t="s">
        <v>10</v>
      </c>
      <c r="C101" s="179" t="s">
        <v>11</v>
      </c>
      <c r="D101" s="179" t="s">
        <v>12</v>
      </c>
      <c r="E101" s="296"/>
      <c r="F101" s="296"/>
      <c r="G101" s="12" t="s">
        <v>36</v>
      </c>
      <c r="H101" s="12" t="s">
        <v>24</v>
      </c>
      <c r="I101" s="12" t="s">
        <v>25</v>
      </c>
      <c r="J101" s="12" t="s">
        <v>26</v>
      </c>
      <c r="K101" s="12" t="s">
        <v>13</v>
      </c>
      <c r="L101" s="12" t="s">
        <v>14</v>
      </c>
      <c r="M101" s="12" t="s">
        <v>116</v>
      </c>
      <c r="N101" s="12" t="s">
        <v>15</v>
      </c>
      <c r="O101" s="296"/>
      <c r="P101" s="13" t="s">
        <v>27</v>
      </c>
      <c r="Q101" s="13" t="s">
        <v>28</v>
      </c>
      <c r="R101" s="13" t="s">
        <v>29</v>
      </c>
      <c r="S101" s="13" t="s">
        <v>30</v>
      </c>
      <c r="T101" s="13" t="s">
        <v>31</v>
      </c>
      <c r="U101" s="13" t="s">
        <v>32</v>
      </c>
    </row>
    <row r="102" spans="1:26" s="7" customFormat="1" ht="105.75" customHeight="1" thickTop="1" thickBot="1" x14ac:dyDescent="0.3">
      <c r="B102" s="177" t="s">
        <v>79</v>
      </c>
      <c r="C102" s="177" t="s">
        <v>80</v>
      </c>
      <c r="D102" s="177">
        <v>6</v>
      </c>
      <c r="E102" s="291" t="s">
        <v>247</v>
      </c>
      <c r="F102" s="291"/>
      <c r="G102" s="202" t="s">
        <v>250</v>
      </c>
      <c r="H102" s="177">
        <v>445</v>
      </c>
      <c r="I102" s="46">
        <v>35000</v>
      </c>
      <c r="J102" s="50">
        <f>+H102*I102</f>
        <v>15575000</v>
      </c>
      <c r="K102" s="50">
        <v>0</v>
      </c>
      <c r="L102" s="50">
        <v>0</v>
      </c>
      <c r="M102" s="50">
        <f>+M96*I102</f>
        <v>6615000</v>
      </c>
      <c r="N102" s="50">
        <f>+N96*I102</f>
        <v>8960000</v>
      </c>
      <c r="O102" s="204" t="s">
        <v>241</v>
      </c>
      <c r="P102" s="177">
        <v>0</v>
      </c>
      <c r="Q102" s="60">
        <v>0</v>
      </c>
      <c r="R102" s="177">
        <v>4</v>
      </c>
      <c r="S102" s="177">
        <v>1</v>
      </c>
      <c r="T102" s="177">
        <v>4</v>
      </c>
      <c r="U102" s="177">
        <v>1</v>
      </c>
      <c r="V102" s="121"/>
      <c r="W102" s="121"/>
      <c r="X102" s="121"/>
      <c r="Y102" s="121"/>
    </row>
    <row r="103" spans="1:26" s="15" customFormat="1" ht="19.5" customHeight="1" x14ac:dyDescent="0.25">
      <c r="A103" s="7"/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37"/>
      <c r="O103" s="138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75"/>
    </row>
    <row r="104" spans="1:26" s="15" customFormat="1" ht="19.5" customHeight="1" x14ac:dyDescent="0.25">
      <c r="A104" s="7"/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37"/>
      <c r="O104" s="138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75"/>
    </row>
    <row r="105" spans="1:26" s="7" customFormat="1" ht="18" thickBot="1" x14ac:dyDescent="0.35">
      <c r="B105" s="295" t="s">
        <v>77</v>
      </c>
      <c r="C105" s="295"/>
      <c r="D105" s="295"/>
      <c r="E105" s="295"/>
      <c r="F105" s="295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121"/>
      <c r="W105" s="121"/>
      <c r="X105" s="121"/>
      <c r="Y105" s="137" t="e">
        <f>+#REF!-308123715.6</f>
        <v>#REF!</v>
      </c>
    </row>
    <row r="106" spans="1:26" s="7" customFormat="1" ht="15.75" customHeight="1" thickTop="1" thickBot="1" x14ac:dyDescent="0.3">
      <c r="B106" s="296" t="s">
        <v>0</v>
      </c>
      <c r="C106" s="296"/>
      <c r="D106" s="296"/>
      <c r="E106" s="296" t="s">
        <v>1</v>
      </c>
      <c r="F106" s="296" t="s">
        <v>2</v>
      </c>
      <c r="G106" s="319" t="s">
        <v>3</v>
      </c>
      <c r="H106" s="319" t="s">
        <v>4</v>
      </c>
      <c r="I106" s="319" t="s">
        <v>5</v>
      </c>
      <c r="J106" s="319" t="s">
        <v>6</v>
      </c>
      <c r="K106" s="319" t="s">
        <v>7</v>
      </c>
      <c r="L106" s="319"/>
      <c r="M106" s="319"/>
      <c r="N106" s="319"/>
      <c r="O106" s="296" t="s">
        <v>8</v>
      </c>
      <c r="P106" s="296" t="s">
        <v>9</v>
      </c>
      <c r="Q106" s="296"/>
      <c r="R106" s="296"/>
      <c r="S106" s="296"/>
      <c r="T106" s="296"/>
      <c r="U106" s="296"/>
    </row>
    <row r="107" spans="1:26" s="7" customFormat="1" ht="25.5" customHeight="1" thickTop="1" thickBot="1" x14ac:dyDescent="0.3">
      <c r="B107" s="34" t="s">
        <v>10</v>
      </c>
      <c r="C107" s="34" t="s">
        <v>11</v>
      </c>
      <c r="D107" s="34" t="s">
        <v>12</v>
      </c>
      <c r="E107" s="296"/>
      <c r="F107" s="296"/>
      <c r="G107" s="319"/>
      <c r="H107" s="319"/>
      <c r="I107" s="319"/>
      <c r="J107" s="319"/>
      <c r="K107" s="12" t="s">
        <v>13</v>
      </c>
      <c r="L107" s="12" t="s">
        <v>14</v>
      </c>
      <c r="M107" s="12" t="s">
        <v>116</v>
      </c>
      <c r="N107" s="12" t="s">
        <v>15</v>
      </c>
      <c r="O107" s="296"/>
      <c r="P107" s="296"/>
      <c r="Q107" s="296"/>
      <c r="R107" s="296"/>
      <c r="S107" s="296"/>
      <c r="T107" s="296"/>
      <c r="U107" s="296"/>
    </row>
    <row r="108" spans="1:26" s="7" customFormat="1" ht="270" customHeight="1" thickTop="1" thickBot="1" x14ac:dyDescent="0.3">
      <c r="B108" s="47" t="s">
        <v>79</v>
      </c>
      <c r="C108" s="47" t="s">
        <v>80</v>
      </c>
      <c r="D108" s="47">
        <v>6</v>
      </c>
      <c r="E108" s="41" t="s">
        <v>114</v>
      </c>
      <c r="F108" s="42" t="s">
        <v>50</v>
      </c>
      <c r="G108" s="47" t="s">
        <v>51</v>
      </c>
      <c r="H108" s="47" t="s">
        <v>18</v>
      </c>
      <c r="I108" s="47">
        <v>1347</v>
      </c>
      <c r="J108" s="47">
        <f>SUM(K108:N108)</f>
        <v>2410</v>
      </c>
      <c r="K108" s="44">
        <v>0</v>
      </c>
      <c r="L108" s="44">
        <v>840</v>
      </c>
      <c r="M108" s="44">
        <v>1180</v>
      </c>
      <c r="N108" s="45">
        <v>390</v>
      </c>
      <c r="O108" s="50">
        <f>+J113+J115</f>
        <v>220318135.73000002</v>
      </c>
      <c r="P108" s="316" t="s">
        <v>115</v>
      </c>
      <c r="Q108" s="317"/>
      <c r="R108" s="317"/>
      <c r="S108" s="317"/>
      <c r="T108" s="317"/>
      <c r="U108" s="318"/>
    </row>
    <row r="109" spans="1:26" s="7" customFormat="1" x14ac:dyDescent="0.25"/>
    <row r="110" spans="1:26" s="7" customFormat="1" ht="18" thickBot="1" x14ac:dyDescent="0.35">
      <c r="B110" s="295" t="s">
        <v>78</v>
      </c>
      <c r="C110" s="295"/>
      <c r="D110" s="295"/>
      <c r="E110" s="295"/>
      <c r="F110" s="295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</row>
    <row r="111" spans="1:26" s="7" customFormat="1" ht="15.75" customHeight="1" thickTop="1" thickBot="1" x14ac:dyDescent="0.3">
      <c r="B111" s="296" t="s">
        <v>0</v>
      </c>
      <c r="C111" s="296"/>
      <c r="D111" s="296"/>
      <c r="E111" s="296" t="s">
        <v>19</v>
      </c>
      <c r="F111" s="296"/>
      <c r="G111" s="319" t="s">
        <v>20</v>
      </c>
      <c r="H111" s="319"/>
      <c r="I111" s="319"/>
      <c r="J111" s="319"/>
      <c r="K111" s="319" t="s">
        <v>21</v>
      </c>
      <c r="L111" s="319"/>
      <c r="M111" s="319"/>
      <c r="N111" s="319"/>
      <c r="O111" s="296" t="s">
        <v>22</v>
      </c>
      <c r="P111" s="319" t="s">
        <v>23</v>
      </c>
      <c r="Q111" s="319"/>
      <c r="R111" s="319"/>
      <c r="S111" s="319"/>
      <c r="T111" s="319"/>
      <c r="U111" s="319"/>
    </row>
    <row r="112" spans="1:26" s="7" customFormat="1" ht="57" customHeight="1" thickTop="1" thickBot="1" x14ac:dyDescent="0.3">
      <c r="B112" s="34" t="s">
        <v>10</v>
      </c>
      <c r="C112" s="34" t="s">
        <v>11</v>
      </c>
      <c r="D112" s="34" t="s">
        <v>12</v>
      </c>
      <c r="E112" s="296"/>
      <c r="F112" s="296"/>
      <c r="G112" s="12" t="s">
        <v>36</v>
      </c>
      <c r="H112" s="12" t="s">
        <v>24</v>
      </c>
      <c r="I112" s="12" t="s">
        <v>25</v>
      </c>
      <c r="J112" s="12" t="s">
        <v>26</v>
      </c>
      <c r="K112" s="12" t="s">
        <v>13</v>
      </c>
      <c r="L112" s="12" t="s">
        <v>14</v>
      </c>
      <c r="M112" s="12" t="s">
        <v>116</v>
      </c>
      <c r="N112" s="12" t="s">
        <v>15</v>
      </c>
      <c r="O112" s="296"/>
      <c r="P112" s="13" t="s">
        <v>27</v>
      </c>
      <c r="Q112" s="13" t="s">
        <v>28</v>
      </c>
      <c r="R112" s="13" t="s">
        <v>29</v>
      </c>
      <c r="S112" s="13" t="s">
        <v>30</v>
      </c>
      <c r="T112" s="13" t="s">
        <v>31</v>
      </c>
      <c r="U112" s="13" t="s">
        <v>32</v>
      </c>
    </row>
    <row r="113" spans="2:22" s="7" customFormat="1" ht="57" customHeight="1" thickTop="1" thickBot="1" x14ac:dyDescent="0.3">
      <c r="B113" s="47" t="s">
        <v>79</v>
      </c>
      <c r="C113" s="47" t="s">
        <v>80</v>
      </c>
      <c r="D113" s="47">
        <v>6</v>
      </c>
      <c r="E113" s="291" t="s">
        <v>117</v>
      </c>
      <c r="F113" s="291"/>
      <c r="G113" s="202" t="s">
        <v>259</v>
      </c>
      <c r="H113" s="47">
        <v>2410</v>
      </c>
      <c r="I113" s="46">
        <v>57600.103000000003</v>
      </c>
      <c r="J113" s="158">
        <f>+H113*I113</f>
        <v>138816248.23000002</v>
      </c>
      <c r="K113" s="50">
        <v>0</v>
      </c>
      <c r="L113" s="50">
        <f>+J113/3</f>
        <v>46272082.74333334</v>
      </c>
      <c r="M113" s="50">
        <f t="shared" ref="L113:N115" si="7">+L113</f>
        <v>46272082.74333334</v>
      </c>
      <c r="N113" s="50">
        <f t="shared" si="7"/>
        <v>46272082.74333334</v>
      </c>
      <c r="O113" s="204" t="s">
        <v>53</v>
      </c>
      <c r="P113" s="177">
        <v>98</v>
      </c>
      <c r="Q113" s="60">
        <v>2071</v>
      </c>
      <c r="R113" s="47">
        <v>4</v>
      </c>
      <c r="S113" s="47">
        <v>1</v>
      </c>
      <c r="T113" s="47">
        <v>4</v>
      </c>
      <c r="U113" s="47">
        <v>1</v>
      </c>
      <c r="V113" s="64"/>
    </row>
    <row r="114" spans="2:22" s="7" customFormat="1" ht="51" customHeight="1" thickBot="1" x14ac:dyDescent="0.3">
      <c r="B114" s="221"/>
      <c r="C114" s="221"/>
      <c r="D114" s="289">
        <v>6</v>
      </c>
      <c r="E114" s="363" t="s">
        <v>153</v>
      </c>
      <c r="F114" s="363"/>
      <c r="G114" s="385" t="s">
        <v>259</v>
      </c>
      <c r="H114" s="289">
        <v>3500</v>
      </c>
      <c r="I114" s="106">
        <v>135000</v>
      </c>
      <c r="J114" s="159">
        <f>+H114*I114</f>
        <v>472500000</v>
      </c>
      <c r="K114" s="159">
        <f>+J114/4</f>
        <v>118125000</v>
      </c>
      <c r="L114" s="159">
        <f>+K114</f>
        <v>118125000</v>
      </c>
      <c r="M114" s="159">
        <f>+L114</f>
        <v>118125000</v>
      </c>
      <c r="N114" s="159">
        <f>+M114</f>
        <v>118125000</v>
      </c>
      <c r="O114" s="289" t="s">
        <v>52</v>
      </c>
      <c r="P114" s="289">
        <v>98</v>
      </c>
      <c r="Q114" s="22">
        <v>2071</v>
      </c>
      <c r="R114" s="22">
        <v>4</v>
      </c>
      <c r="S114" s="22">
        <v>1</v>
      </c>
      <c r="T114" s="22">
        <v>4</v>
      </c>
      <c r="U114" s="22">
        <v>1</v>
      </c>
    </row>
    <row r="115" spans="2:22" s="7" customFormat="1" ht="49.5" customHeight="1" thickTop="1" thickBot="1" x14ac:dyDescent="0.3">
      <c r="B115" s="35" t="s">
        <v>79</v>
      </c>
      <c r="C115" s="35" t="s">
        <v>80</v>
      </c>
      <c r="D115" s="35">
        <v>6</v>
      </c>
      <c r="E115" s="293" t="s">
        <v>118</v>
      </c>
      <c r="F115" s="294"/>
      <c r="G115" s="202" t="s">
        <v>259</v>
      </c>
      <c r="H115" s="35">
        <v>1150</v>
      </c>
      <c r="I115" s="96">
        <f>81501887.5/1150</f>
        <v>70871.206521739135</v>
      </c>
      <c r="J115" s="97">
        <f>SUM(K115:N115)</f>
        <v>81501887.5</v>
      </c>
      <c r="K115" s="97">
        <f>+I115*H115/4</f>
        <v>20375471.875</v>
      </c>
      <c r="L115" s="97">
        <f t="shared" si="7"/>
        <v>20375471.875</v>
      </c>
      <c r="M115" s="97">
        <f t="shared" si="7"/>
        <v>20375471.875</v>
      </c>
      <c r="N115" s="97">
        <f t="shared" si="7"/>
        <v>20375471.875</v>
      </c>
      <c r="O115" s="35" t="s">
        <v>53</v>
      </c>
      <c r="P115" s="177">
        <v>98</v>
      </c>
      <c r="Q115" s="60">
        <v>2071</v>
      </c>
      <c r="R115" s="35">
        <v>4</v>
      </c>
      <c r="S115" s="35">
        <v>1</v>
      </c>
      <c r="T115" s="35">
        <v>4</v>
      </c>
      <c r="U115" s="35">
        <v>1</v>
      </c>
    </row>
    <row r="116" spans="2:22" s="121" customFormat="1" x14ac:dyDescent="0.25">
      <c r="B116" s="139"/>
      <c r="C116" s="139"/>
      <c r="D116" s="139"/>
      <c r="E116" s="139"/>
      <c r="F116" s="139"/>
      <c r="G116" s="140"/>
      <c r="H116" s="140"/>
      <c r="I116" s="140"/>
      <c r="J116" s="141"/>
      <c r="K116" s="140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</row>
    <row r="117" spans="2:22" s="121" customFormat="1" x14ac:dyDescent="0.25">
      <c r="F117" s="207"/>
      <c r="H117" s="206"/>
      <c r="I117" s="207"/>
      <c r="J117" s="206"/>
      <c r="K117" s="206"/>
      <c r="L117" s="206"/>
    </row>
    <row r="118" spans="2:22" s="7" customFormat="1" ht="18" thickBot="1" x14ac:dyDescent="0.35">
      <c r="B118" s="313" t="s">
        <v>77</v>
      </c>
      <c r="C118" s="313"/>
      <c r="D118" s="313"/>
      <c r="E118" s="313"/>
      <c r="F118" s="313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</row>
    <row r="119" spans="2:22" s="7" customFormat="1" ht="15.75" customHeight="1" thickTop="1" thickBot="1" x14ac:dyDescent="0.3">
      <c r="B119" s="297" t="s">
        <v>0</v>
      </c>
      <c r="C119" s="297"/>
      <c r="D119" s="297"/>
      <c r="E119" s="297" t="s">
        <v>1</v>
      </c>
      <c r="F119" s="297" t="s">
        <v>2</v>
      </c>
      <c r="G119" s="331" t="s">
        <v>3</v>
      </c>
      <c r="H119" s="331" t="s">
        <v>4</v>
      </c>
      <c r="I119" s="331" t="s">
        <v>5</v>
      </c>
      <c r="J119" s="331" t="s">
        <v>6</v>
      </c>
      <c r="K119" s="331" t="s">
        <v>7</v>
      </c>
      <c r="L119" s="331"/>
      <c r="M119" s="331"/>
      <c r="N119" s="331"/>
      <c r="O119" s="297" t="s">
        <v>8</v>
      </c>
      <c r="P119" s="297" t="s">
        <v>9</v>
      </c>
      <c r="Q119" s="297"/>
      <c r="R119" s="297"/>
      <c r="S119" s="297"/>
      <c r="T119" s="297"/>
      <c r="U119" s="297"/>
    </row>
    <row r="120" spans="2:22" s="7" customFormat="1" ht="32.25" customHeight="1" thickTop="1" thickBot="1" x14ac:dyDescent="0.3">
      <c r="B120" s="186" t="s">
        <v>10</v>
      </c>
      <c r="C120" s="186" t="s">
        <v>11</v>
      </c>
      <c r="D120" s="186" t="s">
        <v>12</v>
      </c>
      <c r="E120" s="297"/>
      <c r="F120" s="297"/>
      <c r="G120" s="331"/>
      <c r="H120" s="331"/>
      <c r="I120" s="331"/>
      <c r="J120" s="331"/>
      <c r="K120" s="187" t="s">
        <v>13</v>
      </c>
      <c r="L120" s="187" t="s">
        <v>14</v>
      </c>
      <c r="M120" s="187" t="s">
        <v>116</v>
      </c>
      <c r="N120" s="187" t="s">
        <v>15</v>
      </c>
      <c r="O120" s="297"/>
      <c r="P120" s="297"/>
      <c r="Q120" s="297"/>
      <c r="R120" s="297"/>
      <c r="S120" s="297"/>
      <c r="T120" s="297"/>
      <c r="U120" s="297"/>
    </row>
    <row r="121" spans="2:22" s="7" customFormat="1" ht="176.25" customHeight="1" thickTop="1" thickBot="1" x14ac:dyDescent="0.3">
      <c r="B121" s="44" t="s">
        <v>79</v>
      </c>
      <c r="C121" s="44" t="s">
        <v>80</v>
      </c>
      <c r="D121" s="44">
        <v>6</v>
      </c>
      <c r="E121" s="188" t="s">
        <v>119</v>
      </c>
      <c r="F121" s="157" t="s">
        <v>120</v>
      </c>
      <c r="G121" s="44" t="s">
        <v>51</v>
      </c>
      <c r="H121" s="44" t="s">
        <v>54</v>
      </c>
      <c r="I121" s="44">
        <v>338</v>
      </c>
      <c r="J121" s="44">
        <f>SUM(K121:N121)</f>
        <v>825</v>
      </c>
      <c r="K121" s="44">
        <v>0</v>
      </c>
      <c r="L121" s="44">
        <v>261</v>
      </c>
      <c r="M121" s="44">
        <v>59</v>
      </c>
      <c r="N121" s="44">
        <v>505</v>
      </c>
      <c r="O121" s="44" t="s">
        <v>55</v>
      </c>
      <c r="P121" s="332" t="s">
        <v>56</v>
      </c>
      <c r="Q121" s="333"/>
      <c r="R121" s="333"/>
      <c r="S121" s="333"/>
      <c r="T121" s="333"/>
      <c r="U121" s="334"/>
    </row>
    <row r="122" spans="2:22" s="7" customFormat="1" x14ac:dyDescent="0.25"/>
    <row r="123" spans="2:22" s="7" customFormat="1" x14ac:dyDescent="0.25"/>
    <row r="124" spans="2:22" s="7" customFormat="1" ht="18" thickBot="1" x14ac:dyDescent="0.35">
      <c r="B124" s="295" t="s">
        <v>78</v>
      </c>
      <c r="C124" s="295"/>
      <c r="D124" s="295"/>
      <c r="E124" s="295"/>
      <c r="F124" s="295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</row>
    <row r="125" spans="2:22" s="7" customFormat="1" ht="16.5" thickTop="1" thickBot="1" x14ac:dyDescent="0.3">
      <c r="B125" s="296" t="s">
        <v>0</v>
      </c>
      <c r="C125" s="296"/>
      <c r="D125" s="296"/>
      <c r="E125" s="296" t="s">
        <v>19</v>
      </c>
      <c r="F125" s="296"/>
      <c r="G125" s="319" t="s">
        <v>20</v>
      </c>
      <c r="H125" s="319"/>
      <c r="I125" s="319"/>
      <c r="J125" s="319"/>
      <c r="K125" s="319" t="s">
        <v>21</v>
      </c>
      <c r="L125" s="319"/>
      <c r="M125" s="319"/>
      <c r="N125" s="319"/>
      <c r="O125" s="296" t="s">
        <v>22</v>
      </c>
      <c r="P125" s="319" t="s">
        <v>23</v>
      </c>
      <c r="Q125" s="319"/>
      <c r="R125" s="319"/>
      <c r="S125" s="319"/>
      <c r="T125" s="319"/>
      <c r="U125" s="319"/>
    </row>
    <row r="126" spans="2:22" s="7" customFormat="1" ht="41.25" customHeight="1" thickTop="1" thickBot="1" x14ac:dyDescent="0.3">
      <c r="B126" s="176" t="s">
        <v>10</v>
      </c>
      <c r="C126" s="176" t="s">
        <v>11</v>
      </c>
      <c r="D126" s="176" t="s">
        <v>12</v>
      </c>
      <c r="E126" s="296"/>
      <c r="F126" s="296"/>
      <c r="G126" s="12" t="s">
        <v>36</v>
      </c>
      <c r="H126" s="12" t="s">
        <v>24</v>
      </c>
      <c r="I126" s="12" t="s">
        <v>25</v>
      </c>
      <c r="J126" s="12" t="s">
        <v>26</v>
      </c>
      <c r="K126" s="12" t="s">
        <v>13</v>
      </c>
      <c r="L126" s="12" t="s">
        <v>14</v>
      </c>
      <c r="M126" s="12" t="s">
        <v>116</v>
      </c>
      <c r="N126" s="12" t="s">
        <v>15</v>
      </c>
      <c r="O126" s="296"/>
      <c r="P126" s="13" t="s">
        <v>27</v>
      </c>
      <c r="Q126" s="13" t="s">
        <v>28</v>
      </c>
      <c r="R126" s="13" t="s">
        <v>29</v>
      </c>
      <c r="S126" s="13" t="s">
        <v>30</v>
      </c>
      <c r="T126" s="13" t="s">
        <v>31</v>
      </c>
      <c r="U126" s="13" t="s">
        <v>32</v>
      </c>
    </row>
    <row r="127" spans="2:22" s="7" customFormat="1" ht="87.75" customHeight="1" thickTop="1" thickBot="1" x14ac:dyDescent="0.3">
      <c r="B127" s="175" t="s">
        <v>79</v>
      </c>
      <c r="C127" s="175" t="s">
        <v>80</v>
      </c>
      <c r="D127" s="175">
        <v>6</v>
      </c>
      <c r="E127" s="291" t="s">
        <v>246</v>
      </c>
      <c r="F127" s="291"/>
      <c r="G127" s="202" t="s">
        <v>259</v>
      </c>
      <c r="H127" s="175">
        <v>825</v>
      </c>
      <c r="I127" s="46">
        <v>57600.01</v>
      </c>
      <c r="J127" s="50">
        <f>+H127*I127</f>
        <v>47520008.25</v>
      </c>
      <c r="K127" s="50">
        <v>0</v>
      </c>
      <c r="L127" s="50">
        <f>+J127/3</f>
        <v>15840002.75</v>
      </c>
      <c r="M127" s="50">
        <f t="shared" ref="M127" si="8">+L127</f>
        <v>15840002.75</v>
      </c>
      <c r="N127" s="50">
        <f t="shared" ref="N127" si="9">+M127</f>
        <v>15840002.75</v>
      </c>
      <c r="O127" s="190" t="s">
        <v>241</v>
      </c>
      <c r="P127" s="177">
        <v>0</v>
      </c>
      <c r="Q127" s="60">
        <v>0</v>
      </c>
      <c r="R127" s="175">
        <v>0</v>
      </c>
      <c r="S127" s="175">
        <v>0</v>
      </c>
      <c r="T127" s="175">
        <v>0</v>
      </c>
      <c r="U127" s="175">
        <v>0</v>
      </c>
    </row>
    <row r="128" spans="2:22" s="7" customFormat="1" x14ac:dyDescent="0.25"/>
    <row r="129" spans="2:21" s="7" customFormat="1" x14ac:dyDescent="0.25"/>
    <row r="130" spans="2:21" s="7" customFormat="1" ht="27.75" customHeight="1" thickBot="1" x14ac:dyDescent="0.35">
      <c r="B130" s="295" t="s">
        <v>77</v>
      </c>
      <c r="C130" s="295"/>
      <c r="D130" s="295"/>
      <c r="E130" s="295"/>
      <c r="F130" s="295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</row>
    <row r="131" spans="2:21" s="7" customFormat="1" ht="16.5" customHeight="1" thickTop="1" thickBot="1" x14ac:dyDescent="0.3">
      <c r="B131" s="296" t="s">
        <v>0</v>
      </c>
      <c r="C131" s="296"/>
      <c r="D131" s="296"/>
      <c r="E131" s="296" t="s">
        <v>1</v>
      </c>
      <c r="F131" s="296" t="s">
        <v>2</v>
      </c>
      <c r="G131" s="319" t="s">
        <v>3</v>
      </c>
      <c r="H131" s="319" t="s">
        <v>4</v>
      </c>
      <c r="I131" s="319" t="s">
        <v>5</v>
      </c>
      <c r="J131" s="319" t="s">
        <v>6</v>
      </c>
      <c r="K131" s="319" t="s">
        <v>7</v>
      </c>
      <c r="L131" s="319"/>
      <c r="M131" s="319"/>
      <c r="N131" s="319"/>
      <c r="O131" s="296" t="s">
        <v>8</v>
      </c>
      <c r="P131" s="296" t="s">
        <v>9</v>
      </c>
      <c r="Q131" s="296"/>
      <c r="R131" s="296"/>
      <c r="S131" s="296"/>
      <c r="T131" s="296"/>
      <c r="U131" s="296"/>
    </row>
    <row r="132" spans="2:21" s="7" customFormat="1" ht="30" customHeight="1" thickTop="1" thickBot="1" x14ac:dyDescent="0.3">
      <c r="B132" s="34" t="s">
        <v>10</v>
      </c>
      <c r="C132" s="34" t="s">
        <v>11</v>
      </c>
      <c r="D132" s="34" t="s">
        <v>12</v>
      </c>
      <c r="E132" s="296"/>
      <c r="F132" s="296"/>
      <c r="G132" s="319"/>
      <c r="H132" s="319"/>
      <c r="I132" s="319"/>
      <c r="J132" s="319"/>
      <c r="K132" s="12" t="s">
        <v>13</v>
      </c>
      <c r="L132" s="12" t="s">
        <v>14</v>
      </c>
      <c r="M132" s="12" t="s">
        <v>116</v>
      </c>
      <c r="N132" s="12" t="s">
        <v>15</v>
      </c>
      <c r="O132" s="296"/>
      <c r="P132" s="296"/>
      <c r="Q132" s="296"/>
      <c r="R132" s="296"/>
      <c r="S132" s="296"/>
      <c r="T132" s="296"/>
      <c r="U132" s="296"/>
    </row>
    <row r="133" spans="2:21" s="7" customFormat="1" ht="161.25" customHeight="1" thickTop="1" thickBot="1" x14ac:dyDescent="0.3">
      <c r="B133" s="47" t="s">
        <v>79</v>
      </c>
      <c r="C133" s="47" t="s">
        <v>80</v>
      </c>
      <c r="D133" s="47">
        <v>6</v>
      </c>
      <c r="E133" s="76" t="s">
        <v>121</v>
      </c>
      <c r="F133" s="42" t="s">
        <v>57</v>
      </c>
      <c r="G133" s="47" t="s">
        <v>58</v>
      </c>
      <c r="H133" s="47" t="s">
        <v>59</v>
      </c>
      <c r="I133" s="47">
        <v>25345</v>
      </c>
      <c r="J133" s="47">
        <f>SUM(K133:N133)</f>
        <v>11910</v>
      </c>
      <c r="K133" s="44">
        <v>3000</v>
      </c>
      <c r="L133" s="44">
        <v>3500</v>
      </c>
      <c r="M133" s="44">
        <v>3500</v>
      </c>
      <c r="N133" s="45">
        <v>1910</v>
      </c>
      <c r="O133" s="50">
        <f>SUM(J138:J140)</f>
        <v>595500000</v>
      </c>
      <c r="P133" s="328" t="s">
        <v>238</v>
      </c>
      <c r="Q133" s="328"/>
      <c r="R133" s="328"/>
      <c r="S133" s="328"/>
      <c r="T133" s="328"/>
      <c r="U133" s="328"/>
    </row>
    <row r="134" spans="2:21" s="7" customFormat="1" ht="26.25" customHeight="1" x14ac:dyDescent="0.25"/>
    <row r="135" spans="2:21" s="7" customFormat="1" ht="18" thickBot="1" x14ac:dyDescent="0.35">
      <c r="B135" s="295" t="s">
        <v>78</v>
      </c>
      <c r="C135" s="295"/>
      <c r="D135" s="295"/>
      <c r="E135" s="295"/>
      <c r="F135" s="295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</row>
    <row r="136" spans="2:21" s="7" customFormat="1" ht="27.75" customHeight="1" thickTop="1" thickBot="1" x14ac:dyDescent="0.3">
      <c r="B136" s="296" t="s">
        <v>0</v>
      </c>
      <c r="C136" s="296"/>
      <c r="D136" s="296"/>
      <c r="E136" s="296" t="s">
        <v>19</v>
      </c>
      <c r="F136" s="296"/>
      <c r="G136" s="319" t="s">
        <v>20</v>
      </c>
      <c r="H136" s="319"/>
      <c r="I136" s="319"/>
      <c r="J136" s="319"/>
      <c r="K136" s="319" t="s">
        <v>21</v>
      </c>
      <c r="L136" s="319"/>
      <c r="M136" s="319"/>
      <c r="N136" s="319"/>
      <c r="O136" s="296" t="s">
        <v>22</v>
      </c>
      <c r="P136" s="319" t="s">
        <v>23</v>
      </c>
      <c r="Q136" s="319"/>
      <c r="R136" s="319"/>
      <c r="S136" s="319"/>
      <c r="T136" s="319"/>
      <c r="U136" s="319"/>
    </row>
    <row r="137" spans="2:21" s="7" customFormat="1" ht="60" customHeight="1" thickTop="1" thickBot="1" x14ac:dyDescent="0.3">
      <c r="B137" s="34" t="s">
        <v>10</v>
      </c>
      <c r="C137" s="34" t="s">
        <v>11</v>
      </c>
      <c r="D137" s="34" t="s">
        <v>12</v>
      </c>
      <c r="E137" s="296"/>
      <c r="F137" s="296"/>
      <c r="G137" s="12" t="s">
        <v>36</v>
      </c>
      <c r="H137" s="12" t="s">
        <v>24</v>
      </c>
      <c r="I137" s="12" t="s">
        <v>25</v>
      </c>
      <c r="J137" s="12" t="s">
        <v>26</v>
      </c>
      <c r="K137" s="12" t="s">
        <v>13</v>
      </c>
      <c r="L137" s="12" t="s">
        <v>14</v>
      </c>
      <c r="M137" s="12" t="s">
        <v>116</v>
      </c>
      <c r="N137" s="12" t="s">
        <v>15</v>
      </c>
      <c r="O137" s="296"/>
      <c r="P137" s="13" t="s">
        <v>27</v>
      </c>
      <c r="Q137" s="13" t="s">
        <v>28</v>
      </c>
      <c r="R137" s="13" t="s">
        <v>29</v>
      </c>
      <c r="S137" s="13" t="s">
        <v>30</v>
      </c>
      <c r="T137" s="13" t="s">
        <v>31</v>
      </c>
      <c r="U137" s="13" t="s">
        <v>32</v>
      </c>
    </row>
    <row r="138" spans="2:21" s="7" customFormat="1" ht="150" customHeight="1" thickTop="1" thickBot="1" x14ac:dyDescent="0.3">
      <c r="B138" s="47" t="s">
        <v>79</v>
      </c>
      <c r="C138" s="47" t="s">
        <v>80</v>
      </c>
      <c r="D138" s="47">
        <v>6</v>
      </c>
      <c r="E138" s="291" t="s">
        <v>124</v>
      </c>
      <c r="F138" s="291"/>
      <c r="G138" s="198" t="s">
        <v>260</v>
      </c>
      <c r="H138" s="47">
        <v>9010</v>
      </c>
      <c r="I138" s="46">
        <v>50000</v>
      </c>
      <c r="J138" s="96">
        <f>+H138*I138</f>
        <v>450500000</v>
      </c>
      <c r="K138" s="50">
        <f>+I138*H138/4</f>
        <v>112625000</v>
      </c>
      <c r="L138" s="50">
        <f>+K138</f>
        <v>112625000</v>
      </c>
      <c r="M138" s="50">
        <f>+L138</f>
        <v>112625000</v>
      </c>
      <c r="N138" s="50">
        <f>+M138</f>
        <v>112625000</v>
      </c>
      <c r="O138" s="47" t="s">
        <v>42</v>
      </c>
      <c r="P138" s="177">
        <v>98</v>
      </c>
      <c r="Q138" s="60">
        <v>2071</v>
      </c>
      <c r="R138" s="47">
        <v>4</v>
      </c>
      <c r="S138" s="47">
        <v>1</v>
      </c>
      <c r="T138" s="47">
        <v>4</v>
      </c>
      <c r="U138" s="47">
        <v>1</v>
      </c>
    </row>
    <row r="139" spans="2:21" s="7" customFormat="1" ht="100.5" customHeight="1" thickTop="1" thickBot="1" x14ac:dyDescent="0.3">
      <c r="B139" s="35" t="s">
        <v>79</v>
      </c>
      <c r="C139" s="35" t="s">
        <v>80</v>
      </c>
      <c r="D139" s="35">
        <v>6</v>
      </c>
      <c r="E139" s="299" t="s">
        <v>122</v>
      </c>
      <c r="F139" s="299"/>
      <c r="G139" s="130" t="s">
        <v>260</v>
      </c>
      <c r="H139" s="35">
        <v>900</v>
      </c>
      <c r="I139" s="96">
        <v>50000</v>
      </c>
      <c r="J139" s="96">
        <f t="shared" ref="J139:J140" si="10">+H139*I139</f>
        <v>45000000</v>
      </c>
      <c r="K139" s="97">
        <v>0</v>
      </c>
      <c r="L139" s="97">
        <f>+I139*H139/3</f>
        <v>15000000</v>
      </c>
      <c r="M139" s="97">
        <f>+L139</f>
        <v>15000000</v>
      </c>
      <c r="N139" s="97">
        <f>+M139</f>
        <v>15000000</v>
      </c>
      <c r="O139" s="35" t="s">
        <v>42</v>
      </c>
      <c r="P139" s="177">
        <v>98</v>
      </c>
      <c r="Q139" s="60">
        <v>2071</v>
      </c>
      <c r="R139" s="177">
        <v>4</v>
      </c>
      <c r="S139" s="177">
        <v>1</v>
      </c>
      <c r="T139" s="177">
        <v>4</v>
      </c>
      <c r="U139" s="177">
        <v>1</v>
      </c>
    </row>
    <row r="140" spans="2:21" s="7" customFormat="1" ht="123.75" customHeight="1" thickTop="1" thickBot="1" x14ac:dyDescent="0.3">
      <c r="B140" s="35" t="s">
        <v>79</v>
      </c>
      <c r="C140" s="35" t="s">
        <v>80</v>
      </c>
      <c r="D140" s="35">
        <v>6</v>
      </c>
      <c r="E140" s="330" t="s">
        <v>123</v>
      </c>
      <c r="F140" s="324"/>
      <c r="G140" s="130" t="s">
        <v>261</v>
      </c>
      <c r="H140" s="35">
        <v>2000</v>
      </c>
      <c r="I140" s="96">
        <v>50000</v>
      </c>
      <c r="J140" s="96">
        <f t="shared" si="10"/>
        <v>100000000</v>
      </c>
      <c r="K140" s="97">
        <f>+I140*H140/2</f>
        <v>50000000</v>
      </c>
      <c r="L140" s="97">
        <f>+K140</f>
        <v>50000000</v>
      </c>
      <c r="M140" s="97"/>
      <c r="N140" s="97"/>
      <c r="O140" s="35" t="s">
        <v>42</v>
      </c>
      <c r="P140" s="177">
        <v>98</v>
      </c>
      <c r="Q140" s="60">
        <v>2071</v>
      </c>
      <c r="R140" s="177">
        <v>4</v>
      </c>
      <c r="S140" s="177">
        <v>1</v>
      </c>
      <c r="T140" s="177">
        <v>4</v>
      </c>
      <c r="U140" s="177">
        <v>1</v>
      </c>
    </row>
    <row r="141" spans="2:21" s="7" customFormat="1" ht="24.75" customHeight="1" x14ac:dyDescent="0.25">
      <c r="B141" s="78"/>
      <c r="C141" s="78"/>
      <c r="D141" s="78"/>
      <c r="E141" s="78"/>
      <c r="F141" s="78"/>
      <c r="G141" s="78"/>
      <c r="H141" s="78"/>
      <c r="I141" s="78"/>
      <c r="J141" s="79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</row>
    <row r="142" spans="2:21" s="7" customFormat="1" x14ac:dyDescent="0.25"/>
    <row r="143" spans="2:21" s="7" customFormat="1" ht="18" thickBot="1" x14ac:dyDescent="0.35">
      <c r="B143" s="295" t="s">
        <v>77</v>
      </c>
      <c r="C143" s="295"/>
      <c r="D143" s="295"/>
      <c r="E143" s="295"/>
      <c r="F143" s="295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</row>
    <row r="144" spans="2:21" s="7" customFormat="1" ht="20.25" customHeight="1" thickTop="1" thickBot="1" x14ac:dyDescent="0.3">
      <c r="B144" s="296" t="s">
        <v>0</v>
      </c>
      <c r="C144" s="296"/>
      <c r="D144" s="296"/>
      <c r="E144" s="296" t="s">
        <v>1</v>
      </c>
      <c r="F144" s="296" t="s">
        <v>2</v>
      </c>
      <c r="G144" s="319" t="s">
        <v>3</v>
      </c>
      <c r="H144" s="319" t="s">
        <v>4</v>
      </c>
      <c r="I144" s="319" t="s">
        <v>5</v>
      </c>
      <c r="J144" s="319" t="s">
        <v>6</v>
      </c>
      <c r="K144" s="319" t="s">
        <v>7</v>
      </c>
      <c r="L144" s="319"/>
      <c r="M144" s="319"/>
      <c r="N144" s="319"/>
      <c r="O144" s="296" t="s">
        <v>8</v>
      </c>
      <c r="P144" s="296" t="s">
        <v>9</v>
      </c>
      <c r="Q144" s="296"/>
      <c r="R144" s="296"/>
      <c r="S144" s="296"/>
      <c r="T144" s="296"/>
      <c r="U144" s="296"/>
    </row>
    <row r="145" spans="2:21" s="7" customFormat="1" ht="16.5" thickTop="1" thickBot="1" x14ac:dyDescent="0.3">
      <c r="B145" s="34" t="s">
        <v>10</v>
      </c>
      <c r="C145" s="34" t="s">
        <v>11</v>
      </c>
      <c r="D145" s="34" t="s">
        <v>12</v>
      </c>
      <c r="E145" s="296"/>
      <c r="F145" s="296"/>
      <c r="G145" s="319"/>
      <c r="H145" s="319"/>
      <c r="I145" s="319"/>
      <c r="J145" s="319"/>
      <c r="K145" s="12" t="s">
        <v>13</v>
      </c>
      <c r="L145" s="12" t="s">
        <v>14</v>
      </c>
      <c r="M145" s="12" t="s">
        <v>116</v>
      </c>
      <c r="N145" s="12" t="s">
        <v>15</v>
      </c>
      <c r="O145" s="296"/>
      <c r="P145" s="296"/>
      <c r="Q145" s="296"/>
      <c r="R145" s="296"/>
      <c r="S145" s="296"/>
      <c r="T145" s="296"/>
      <c r="U145" s="296"/>
    </row>
    <row r="146" spans="2:21" s="7" customFormat="1" ht="240" customHeight="1" thickTop="1" thickBot="1" x14ac:dyDescent="0.3">
      <c r="B146" s="47" t="s">
        <v>79</v>
      </c>
      <c r="C146" s="47" t="s">
        <v>80</v>
      </c>
      <c r="D146" s="40">
        <v>6</v>
      </c>
      <c r="E146" s="76" t="s">
        <v>125</v>
      </c>
      <c r="F146" s="42" t="s">
        <v>60</v>
      </c>
      <c r="G146" s="40" t="s">
        <v>17</v>
      </c>
      <c r="H146" s="47" t="s">
        <v>61</v>
      </c>
      <c r="I146" s="80">
        <v>53971</v>
      </c>
      <c r="J146" s="40">
        <f>SUM(K146:N146)</f>
        <v>3000</v>
      </c>
      <c r="K146" s="44">
        <v>750</v>
      </c>
      <c r="L146" s="44">
        <v>750</v>
      </c>
      <c r="M146" s="44">
        <v>750</v>
      </c>
      <c r="N146" s="44">
        <v>750</v>
      </c>
      <c r="O146" s="46">
        <f>SUM(J151:J153)</f>
        <v>26382226.899999999</v>
      </c>
      <c r="P146" s="316" t="s">
        <v>126</v>
      </c>
      <c r="Q146" s="317"/>
      <c r="R146" s="317"/>
      <c r="S146" s="317"/>
      <c r="T146" s="317"/>
      <c r="U146" s="318"/>
    </row>
    <row r="147" spans="2:21" s="7" customFormat="1" x14ac:dyDescent="0.25"/>
    <row r="148" spans="2:21" s="7" customFormat="1" ht="18" thickBot="1" x14ac:dyDescent="0.35">
      <c r="B148" s="295" t="s">
        <v>78</v>
      </c>
      <c r="C148" s="295"/>
      <c r="D148" s="295"/>
      <c r="E148" s="295"/>
      <c r="F148" s="295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</row>
    <row r="149" spans="2:21" s="7" customFormat="1" ht="20.25" customHeight="1" thickTop="1" thickBot="1" x14ac:dyDescent="0.3">
      <c r="B149" s="296" t="s">
        <v>0</v>
      </c>
      <c r="C149" s="296"/>
      <c r="D149" s="296"/>
      <c r="E149" s="296" t="s">
        <v>19</v>
      </c>
      <c r="F149" s="296"/>
      <c r="G149" s="319" t="s">
        <v>20</v>
      </c>
      <c r="H149" s="319"/>
      <c r="I149" s="319"/>
      <c r="J149" s="319"/>
      <c r="K149" s="319" t="s">
        <v>21</v>
      </c>
      <c r="L149" s="319"/>
      <c r="M149" s="319"/>
      <c r="N149" s="319"/>
      <c r="O149" s="296" t="s">
        <v>22</v>
      </c>
      <c r="P149" s="319" t="s">
        <v>23</v>
      </c>
      <c r="Q149" s="319"/>
      <c r="R149" s="319"/>
      <c r="S149" s="319"/>
      <c r="T149" s="319"/>
      <c r="U149" s="319"/>
    </row>
    <row r="150" spans="2:21" s="7" customFormat="1" ht="42.75" thickTop="1" thickBot="1" x14ac:dyDescent="0.3">
      <c r="B150" s="34" t="s">
        <v>10</v>
      </c>
      <c r="C150" s="34" t="s">
        <v>11</v>
      </c>
      <c r="D150" s="34" t="s">
        <v>12</v>
      </c>
      <c r="E150" s="296"/>
      <c r="F150" s="296"/>
      <c r="G150" s="12" t="s">
        <v>36</v>
      </c>
      <c r="H150" s="12" t="s">
        <v>24</v>
      </c>
      <c r="I150" s="12" t="s">
        <v>25</v>
      </c>
      <c r="J150" s="12" t="s">
        <v>26</v>
      </c>
      <c r="K150" s="12" t="s">
        <v>13</v>
      </c>
      <c r="L150" s="12" t="s">
        <v>14</v>
      </c>
      <c r="M150" s="12" t="s">
        <v>116</v>
      </c>
      <c r="N150" s="12" t="s">
        <v>15</v>
      </c>
      <c r="O150" s="296"/>
      <c r="P150" s="13" t="s">
        <v>27</v>
      </c>
      <c r="Q150" s="13" t="s">
        <v>28</v>
      </c>
      <c r="R150" s="13" t="s">
        <v>29</v>
      </c>
      <c r="S150" s="13" t="s">
        <v>30</v>
      </c>
      <c r="T150" s="13" t="s">
        <v>31</v>
      </c>
      <c r="U150" s="13" t="s">
        <v>32</v>
      </c>
    </row>
    <row r="151" spans="2:21" s="7" customFormat="1" ht="30.75" customHeight="1" thickTop="1" thickBot="1" x14ac:dyDescent="0.3">
      <c r="B151" s="321" t="s">
        <v>79</v>
      </c>
      <c r="C151" s="321" t="s">
        <v>80</v>
      </c>
      <c r="D151" s="321">
        <v>6</v>
      </c>
      <c r="E151" s="291" t="s">
        <v>127</v>
      </c>
      <c r="F151" s="291"/>
      <c r="G151" s="109" t="s">
        <v>251</v>
      </c>
      <c r="H151" s="47">
        <f>3000+110</f>
        <v>3110</v>
      </c>
      <c r="I151" s="46">
        <v>8363.2099999999991</v>
      </c>
      <c r="J151" s="46">
        <f>+H151*I151</f>
        <v>26009583.099999998</v>
      </c>
      <c r="K151" s="50">
        <f>+J151/4</f>
        <v>6502395.7749999994</v>
      </c>
      <c r="L151" s="50">
        <f t="shared" ref="L151:N151" si="11">+K151</f>
        <v>6502395.7749999994</v>
      </c>
      <c r="M151" s="50">
        <f t="shared" si="11"/>
        <v>6502395.7749999994</v>
      </c>
      <c r="N151" s="50">
        <f t="shared" si="11"/>
        <v>6502395.7749999994</v>
      </c>
      <c r="O151" s="47" t="s">
        <v>42</v>
      </c>
      <c r="P151" s="177">
        <v>98</v>
      </c>
      <c r="Q151" s="60">
        <v>2071</v>
      </c>
      <c r="R151" s="47">
        <v>4</v>
      </c>
      <c r="S151" s="47">
        <v>1</v>
      </c>
      <c r="T151" s="47">
        <v>4</v>
      </c>
      <c r="U151" s="81">
        <v>1</v>
      </c>
    </row>
    <row r="152" spans="2:21" s="7" customFormat="1" ht="22.5" customHeight="1" thickTop="1" thickBot="1" x14ac:dyDescent="0.3">
      <c r="B152" s="304"/>
      <c r="C152" s="304"/>
      <c r="D152" s="304"/>
      <c r="E152" s="299"/>
      <c r="F152" s="299"/>
      <c r="G152" s="110" t="s">
        <v>243</v>
      </c>
      <c r="H152" s="35">
        <f>20</f>
        <v>20</v>
      </c>
      <c r="I152" s="96">
        <v>10032.19</v>
      </c>
      <c r="J152" s="106">
        <f>SUM(K152:N152)</f>
        <v>200643.80000000002</v>
      </c>
      <c r="K152" s="96">
        <f>+I152*H152/4</f>
        <v>50160.950000000004</v>
      </c>
      <c r="L152" s="96">
        <f>+K152</f>
        <v>50160.950000000004</v>
      </c>
      <c r="M152" s="96">
        <f>+L152</f>
        <v>50160.950000000004</v>
      </c>
      <c r="N152" s="96">
        <f>+M152</f>
        <v>50160.950000000004</v>
      </c>
      <c r="O152" s="35" t="s">
        <v>42</v>
      </c>
      <c r="P152" s="177">
        <v>98</v>
      </c>
      <c r="Q152" s="60">
        <v>2071</v>
      </c>
      <c r="R152" s="22">
        <v>2</v>
      </c>
      <c r="S152" s="22">
        <v>3</v>
      </c>
      <c r="T152" s="22">
        <v>1</v>
      </c>
      <c r="U152" s="189"/>
    </row>
    <row r="153" spans="2:21" s="7" customFormat="1" ht="32.25" customHeight="1" thickTop="1" thickBot="1" x14ac:dyDescent="0.3">
      <c r="B153" s="305"/>
      <c r="C153" s="305"/>
      <c r="D153" s="305"/>
      <c r="E153" s="299"/>
      <c r="F153" s="299"/>
      <c r="G153" s="110" t="s">
        <v>242</v>
      </c>
      <c r="H153" s="35">
        <v>4</v>
      </c>
      <c r="I153" s="96">
        <v>43000</v>
      </c>
      <c r="J153" s="96">
        <f>+H153*I153</f>
        <v>172000</v>
      </c>
      <c r="K153" s="96">
        <v>0</v>
      </c>
      <c r="L153" s="96">
        <f>+H153*I153</f>
        <v>172000</v>
      </c>
      <c r="M153" s="96"/>
      <c r="N153" s="96"/>
      <c r="O153" s="35" t="s">
        <v>42</v>
      </c>
      <c r="P153" s="177">
        <v>98</v>
      </c>
      <c r="Q153" s="60">
        <v>2071</v>
      </c>
      <c r="R153" s="35">
        <v>2</v>
      </c>
      <c r="S153" s="35">
        <v>3</v>
      </c>
      <c r="T153" s="35">
        <v>2</v>
      </c>
      <c r="U153" s="143"/>
    </row>
    <row r="154" spans="2:21" s="7" customFormat="1" ht="32.25" customHeight="1" x14ac:dyDescent="0.25">
      <c r="B154" s="87"/>
      <c r="C154" s="87"/>
      <c r="D154" s="87"/>
      <c r="E154" s="208"/>
      <c r="F154" s="208"/>
      <c r="G154" s="209"/>
      <c r="H154" s="87"/>
      <c r="I154" s="210"/>
      <c r="J154" s="210"/>
      <c r="K154" s="210"/>
      <c r="L154" s="210"/>
      <c r="M154" s="210"/>
      <c r="N154" s="210"/>
      <c r="O154" s="87"/>
      <c r="P154" s="87"/>
      <c r="Q154" s="211"/>
      <c r="R154" s="87"/>
      <c r="S154" s="87"/>
      <c r="T154" s="87"/>
      <c r="U154" s="87"/>
    </row>
    <row r="155" spans="2:21" s="7" customFormat="1" ht="23.25" customHeight="1" thickBot="1" x14ac:dyDescent="0.35">
      <c r="B155" s="295" t="s">
        <v>77</v>
      </c>
      <c r="C155" s="295"/>
      <c r="D155" s="295"/>
      <c r="E155" s="295"/>
      <c r="F155" s="295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</row>
    <row r="156" spans="2:21" s="7" customFormat="1" ht="21.75" customHeight="1" thickTop="1" thickBot="1" x14ac:dyDescent="0.3">
      <c r="B156" s="296" t="s">
        <v>0</v>
      </c>
      <c r="C156" s="296"/>
      <c r="D156" s="296"/>
      <c r="E156" s="296" t="s">
        <v>1</v>
      </c>
      <c r="F156" s="296" t="s">
        <v>2</v>
      </c>
      <c r="G156" s="319" t="s">
        <v>3</v>
      </c>
      <c r="H156" s="319" t="s">
        <v>4</v>
      </c>
      <c r="I156" s="319" t="s">
        <v>5</v>
      </c>
      <c r="J156" s="319" t="s">
        <v>6</v>
      </c>
      <c r="K156" s="319" t="s">
        <v>7</v>
      </c>
      <c r="L156" s="319"/>
      <c r="M156" s="319"/>
      <c r="N156" s="319"/>
      <c r="O156" s="296" t="s">
        <v>8</v>
      </c>
      <c r="P156" s="296" t="s">
        <v>9</v>
      </c>
      <c r="Q156" s="296"/>
      <c r="R156" s="296"/>
      <c r="S156" s="296"/>
      <c r="T156" s="296"/>
      <c r="U156" s="296"/>
    </row>
    <row r="157" spans="2:21" s="7" customFormat="1" ht="36.75" customHeight="1" thickTop="1" thickBot="1" x14ac:dyDescent="0.3">
      <c r="B157" s="34" t="s">
        <v>10</v>
      </c>
      <c r="C157" s="34" t="s">
        <v>11</v>
      </c>
      <c r="D157" s="34" t="s">
        <v>12</v>
      </c>
      <c r="E157" s="296"/>
      <c r="F157" s="296"/>
      <c r="G157" s="319"/>
      <c r="H157" s="319"/>
      <c r="I157" s="319"/>
      <c r="J157" s="319"/>
      <c r="K157" s="12" t="s">
        <v>13</v>
      </c>
      <c r="L157" s="12" t="s">
        <v>14</v>
      </c>
      <c r="M157" s="12" t="s">
        <v>116</v>
      </c>
      <c r="N157" s="12" t="s">
        <v>15</v>
      </c>
      <c r="O157" s="296"/>
      <c r="P157" s="296"/>
      <c r="Q157" s="296"/>
      <c r="R157" s="296"/>
      <c r="S157" s="296"/>
      <c r="T157" s="296"/>
      <c r="U157" s="296"/>
    </row>
    <row r="158" spans="2:21" s="7" customFormat="1" ht="222.75" customHeight="1" thickTop="1" thickBot="1" x14ac:dyDescent="0.3">
      <c r="B158" s="47" t="s">
        <v>79</v>
      </c>
      <c r="C158" s="47" t="s">
        <v>80</v>
      </c>
      <c r="D158" s="47">
        <v>6</v>
      </c>
      <c r="E158" s="191" t="s">
        <v>244</v>
      </c>
      <c r="F158" s="290" t="s">
        <v>62</v>
      </c>
      <c r="G158" s="131" t="s">
        <v>51</v>
      </c>
      <c r="H158" s="47" t="s">
        <v>63</v>
      </c>
      <c r="I158" s="45">
        <v>0</v>
      </c>
      <c r="J158" s="47">
        <f>SUM(K158:N158)</f>
        <v>5000</v>
      </c>
      <c r="K158" s="44">
        <v>2220</v>
      </c>
      <c r="L158" s="44"/>
      <c r="M158" s="44">
        <v>2780</v>
      </c>
      <c r="N158" s="44"/>
      <c r="O158" s="50">
        <f>SUM(J163:J169)</f>
        <v>292845800</v>
      </c>
      <c r="P158" s="328" t="s">
        <v>236</v>
      </c>
      <c r="Q158" s="328"/>
      <c r="R158" s="328"/>
      <c r="S158" s="328"/>
      <c r="T158" s="328"/>
      <c r="U158" s="328"/>
    </row>
    <row r="159" spans="2:21" s="7" customFormat="1" x14ac:dyDescent="0.25"/>
    <row r="160" spans="2:21" s="7" customFormat="1" ht="18" thickBot="1" x14ac:dyDescent="0.35">
      <c r="B160" s="295" t="s">
        <v>78</v>
      </c>
      <c r="C160" s="295"/>
      <c r="D160" s="295"/>
      <c r="E160" s="295"/>
      <c r="F160" s="295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</row>
    <row r="161" spans="2:21" s="7" customFormat="1" ht="16.5" customHeight="1" thickTop="1" thickBot="1" x14ac:dyDescent="0.3">
      <c r="B161" s="296" t="s">
        <v>0</v>
      </c>
      <c r="C161" s="296"/>
      <c r="D161" s="296"/>
      <c r="E161" s="296" t="s">
        <v>19</v>
      </c>
      <c r="F161" s="296"/>
      <c r="G161" s="319" t="s">
        <v>20</v>
      </c>
      <c r="H161" s="319"/>
      <c r="I161" s="319"/>
      <c r="J161" s="319"/>
      <c r="K161" s="319" t="s">
        <v>21</v>
      </c>
      <c r="L161" s="319"/>
      <c r="M161" s="319"/>
      <c r="N161" s="319"/>
      <c r="O161" s="296" t="s">
        <v>22</v>
      </c>
      <c r="P161" s="319" t="s">
        <v>23</v>
      </c>
      <c r="Q161" s="319"/>
      <c r="R161" s="319"/>
      <c r="S161" s="319"/>
      <c r="T161" s="319"/>
      <c r="U161" s="319"/>
    </row>
    <row r="162" spans="2:21" s="7" customFormat="1" ht="45.75" customHeight="1" thickTop="1" thickBot="1" x14ac:dyDescent="0.3">
      <c r="B162" s="146" t="s">
        <v>10</v>
      </c>
      <c r="C162" s="146" t="s">
        <v>11</v>
      </c>
      <c r="D162" s="146" t="s">
        <v>12</v>
      </c>
      <c r="E162" s="329"/>
      <c r="F162" s="329"/>
      <c r="G162" s="147" t="s">
        <v>36</v>
      </c>
      <c r="H162" s="147" t="s">
        <v>24</v>
      </c>
      <c r="I162" s="147" t="s">
        <v>25</v>
      </c>
      <c r="J162" s="147" t="s">
        <v>26</v>
      </c>
      <c r="K162" s="147" t="s">
        <v>13</v>
      </c>
      <c r="L162" s="147" t="s">
        <v>14</v>
      </c>
      <c r="M162" s="147" t="s">
        <v>116</v>
      </c>
      <c r="N162" s="147" t="s">
        <v>15</v>
      </c>
      <c r="O162" s="329"/>
      <c r="P162" s="148" t="s">
        <v>27</v>
      </c>
      <c r="Q162" s="148" t="s">
        <v>28</v>
      </c>
      <c r="R162" s="148" t="s">
        <v>29</v>
      </c>
      <c r="S162" s="148" t="s">
        <v>30</v>
      </c>
      <c r="T162" s="148" t="s">
        <v>31</v>
      </c>
      <c r="U162" s="148" t="s">
        <v>32</v>
      </c>
    </row>
    <row r="163" spans="2:21" s="7" customFormat="1" ht="78.75" customHeight="1" thickBot="1" x14ac:dyDescent="0.3">
      <c r="B163" s="63" t="s">
        <v>79</v>
      </c>
      <c r="C163" s="63" t="s">
        <v>80</v>
      </c>
      <c r="D163" s="14">
        <v>6</v>
      </c>
      <c r="E163" s="327" t="s">
        <v>128</v>
      </c>
      <c r="F163" s="327"/>
      <c r="G163" s="82" t="s">
        <v>64</v>
      </c>
      <c r="H163" s="14">
        <v>5000</v>
      </c>
      <c r="I163" s="136">
        <v>54222.16</v>
      </c>
      <c r="J163" s="134">
        <f>+H163*I163</f>
        <v>271110800</v>
      </c>
      <c r="K163" s="134">
        <f>+I163*H163/2</f>
        <v>135555400</v>
      </c>
      <c r="L163" s="134"/>
      <c r="M163" s="134">
        <f>+K163</f>
        <v>135555400</v>
      </c>
      <c r="N163" s="134"/>
      <c r="O163" s="14" t="s">
        <v>42</v>
      </c>
      <c r="P163" s="194">
        <v>98</v>
      </c>
      <c r="Q163" s="194">
        <v>2071</v>
      </c>
      <c r="R163" s="194">
        <v>4</v>
      </c>
      <c r="S163" s="14">
        <v>1</v>
      </c>
      <c r="T163" s="14">
        <v>4</v>
      </c>
      <c r="U163" s="14">
        <v>1</v>
      </c>
    </row>
    <row r="164" spans="2:21" s="7" customFormat="1" ht="63" customHeight="1" thickBot="1" x14ac:dyDescent="0.3">
      <c r="B164" s="63" t="s">
        <v>79</v>
      </c>
      <c r="C164" s="63" t="s">
        <v>80</v>
      </c>
      <c r="D164" s="63">
        <v>7</v>
      </c>
      <c r="E164" s="327" t="s">
        <v>129</v>
      </c>
      <c r="F164" s="327"/>
      <c r="G164" s="82" t="s">
        <v>135</v>
      </c>
      <c r="H164" s="14">
        <v>10</v>
      </c>
      <c r="I164" s="136">
        <v>100000</v>
      </c>
      <c r="J164" s="134">
        <f>+H164*I164</f>
        <v>1000000</v>
      </c>
      <c r="K164" s="134"/>
      <c r="L164" s="149">
        <f>+I164*H164</f>
        <v>1000000</v>
      </c>
      <c r="M164" s="134"/>
      <c r="N164" s="134"/>
      <c r="O164" s="14" t="s">
        <v>42</v>
      </c>
      <c r="P164" s="194">
        <v>98</v>
      </c>
      <c r="Q164" s="194">
        <v>2071</v>
      </c>
      <c r="R164" s="194">
        <v>2</v>
      </c>
      <c r="S164" s="194">
        <v>2</v>
      </c>
      <c r="T164" s="14">
        <v>2</v>
      </c>
      <c r="U164" s="14"/>
    </row>
    <row r="165" spans="2:21" s="7" customFormat="1" ht="48" customHeight="1" thickBot="1" x14ac:dyDescent="0.3">
      <c r="B165" s="63" t="s">
        <v>79</v>
      </c>
      <c r="C165" s="63" t="s">
        <v>80</v>
      </c>
      <c r="D165" s="63">
        <v>8</v>
      </c>
      <c r="E165" s="327" t="s">
        <v>130</v>
      </c>
      <c r="F165" s="327"/>
      <c r="G165" s="82" t="s">
        <v>136</v>
      </c>
      <c r="H165" s="14">
        <v>5</v>
      </c>
      <c r="I165" s="136">
        <v>400000</v>
      </c>
      <c r="J165" s="134">
        <f t="shared" ref="J165:J169" si="12">+H165*I165</f>
        <v>2000000</v>
      </c>
      <c r="K165" s="134"/>
      <c r="L165" s="134">
        <f>+I165*H165</f>
        <v>2000000</v>
      </c>
      <c r="M165" s="134"/>
      <c r="N165" s="134"/>
      <c r="O165" s="14" t="s">
        <v>42</v>
      </c>
      <c r="P165" s="194">
        <v>98</v>
      </c>
      <c r="Q165" s="194">
        <v>2071</v>
      </c>
      <c r="R165" s="194">
        <v>2</v>
      </c>
      <c r="S165" s="194">
        <v>8</v>
      </c>
      <c r="T165" s="14">
        <v>7</v>
      </c>
      <c r="U165" s="14">
        <v>6</v>
      </c>
    </row>
    <row r="166" spans="2:21" s="7" customFormat="1" ht="33" customHeight="1" thickBot="1" x14ac:dyDescent="0.3">
      <c r="B166" s="63" t="s">
        <v>79</v>
      </c>
      <c r="C166" s="63" t="s">
        <v>80</v>
      </c>
      <c r="D166" s="63">
        <v>9</v>
      </c>
      <c r="E166" s="327" t="s">
        <v>131</v>
      </c>
      <c r="F166" s="327"/>
      <c r="G166" s="82" t="s">
        <v>137</v>
      </c>
      <c r="H166" s="14">
        <v>20000</v>
      </c>
      <c r="I166" s="136">
        <v>500</v>
      </c>
      <c r="J166" s="134">
        <f t="shared" si="12"/>
        <v>10000000</v>
      </c>
      <c r="K166" s="134"/>
      <c r="L166" s="134"/>
      <c r="M166" s="134">
        <f>+I166*H166</f>
        <v>10000000</v>
      </c>
      <c r="N166" s="134"/>
      <c r="O166" s="14" t="s">
        <v>42</v>
      </c>
      <c r="P166" s="194">
        <v>98</v>
      </c>
      <c r="Q166" s="194">
        <v>2071</v>
      </c>
      <c r="R166" s="194">
        <v>2</v>
      </c>
      <c r="S166" s="194">
        <v>2</v>
      </c>
      <c r="T166" s="14">
        <v>2</v>
      </c>
      <c r="U166" s="14"/>
    </row>
    <row r="167" spans="2:21" s="7" customFormat="1" ht="30.75" thickBot="1" x14ac:dyDescent="0.3">
      <c r="B167" s="63" t="s">
        <v>79</v>
      </c>
      <c r="C167" s="63" t="s">
        <v>80</v>
      </c>
      <c r="D167" s="63">
        <v>10</v>
      </c>
      <c r="E167" s="327" t="s">
        <v>132</v>
      </c>
      <c r="F167" s="327"/>
      <c r="G167" s="82" t="s">
        <v>138</v>
      </c>
      <c r="H167" s="14">
        <v>15</v>
      </c>
      <c r="I167" s="136">
        <v>129000</v>
      </c>
      <c r="J167" s="134">
        <f>+H167*I167</f>
        <v>1935000</v>
      </c>
      <c r="K167" s="134"/>
      <c r="L167" s="134">
        <f>+H167*I167/3</f>
        <v>645000</v>
      </c>
      <c r="M167" s="134">
        <f>+L167</f>
        <v>645000</v>
      </c>
      <c r="N167" s="134">
        <f>+M167</f>
        <v>645000</v>
      </c>
      <c r="O167" s="14" t="s">
        <v>42</v>
      </c>
      <c r="P167" s="194">
        <v>98</v>
      </c>
      <c r="Q167" s="194">
        <v>2071</v>
      </c>
      <c r="R167" s="194">
        <v>2</v>
      </c>
      <c r="S167" s="194">
        <v>3</v>
      </c>
      <c r="T167" s="14">
        <v>2</v>
      </c>
      <c r="U167" s="14"/>
    </row>
    <row r="168" spans="2:21" s="7" customFormat="1" ht="57" customHeight="1" thickBot="1" x14ac:dyDescent="0.3">
      <c r="B168" s="63" t="s">
        <v>79</v>
      </c>
      <c r="C168" s="63" t="s">
        <v>80</v>
      </c>
      <c r="D168" s="63">
        <v>11</v>
      </c>
      <c r="E168" s="327" t="s">
        <v>133</v>
      </c>
      <c r="F168" s="327"/>
      <c r="G168" s="82" t="s">
        <v>269</v>
      </c>
      <c r="H168" s="14">
        <v>4</v>
      </c>
      <c r="I168" s="136">
        <v>1200000</v>
      </c>
      <c r="J168" s="225">
        <f>+H168*I168</f>
        <v>4800000</v>
      </c>
      <c r="K168" s="225">
        <f>+J168/H168</f>
        <v>1200000</v>
      </c>
      <c r="L168" s="225">
        <f>+K168</f>
        <v>1200000</v>
      </c>
      <c r="M168" s="225">
        <f>+L168</f>
        <v>1200000</v>
      </c>
      <c r="N168" s="225">
        <f>+M168</f>
        <v>1200000</v>
      </c>
      <c r="O168" s="14" t="s">
        <v>42</v>
      </c>
      <c r="P168" s="194">
        <v>98</v>
      </c>
      <c r="Q168" s="194">
        <v>2071</v>
      </c>
      <c r="R168" s="194">
        <v>2</v>
      </c>
      <c r="S168" s="194">
        <v>8</v>
      </c>
      <c r="T168" s="14">
        <v>7</v>
      </c>
      <c r="U168" s="14">
        <v>6</v>
      </c>
    </row>
    <row r="169" spans="2:21" s="7" customFormat="1" ht="42.75" customHeight="1" thickBot="1" x14ac:dyDescent="0.3">
      <c r="B169" s="63" t="s">
        <v>79</v>
      </c>
      <c r="C169" s="63" t="s">
        <v>80</v>
      </c>
      <c r="D169" s="63">
        <v>12</v>
      </c>
      <c r="E169" s="327" t="s">
        <v>134</v>
      </c>
      <c r="F169" s="327"/>
      <c r="G169" s="82" t="s">
        <v>139</v>
      </c>
      <c r="H169" s="14">
        <v>1</v>
      </c>
      <c r="I169" s="136">
        <v>2000000</v>
      </c>
      <c r="J169" s="134">
        <f t="shared" si="12"/>
        <v>2000000</v>
      </c>
      <c r="K169" s="134"/>
      <c r="L169" s="134"/>
      <c r="M169" s="134">
        <f>+I169*H169</f>
        <v>2000000</v>
      </c>
      <c r="N169" s="134"/>
      <c r="O169" s="14" t="s">
        <v>42</v>
      </c>
      <c r="P169" s="194">
        <v>98</v>
      </c>
      <c r="Q169" s="194">
        <v>2071</v>
      </c>
      <c r="R169" s="194">
        <v>2</v>
      </c>
      <c r="S169" s="194">
        <v>6</v>
      </c>
      <c r="T169" s="192">
        <v>2</v>
      </c>
      <c r="U169" s="192">
        <v>1</v>
      </c>
    </row>
    <row r="170" spans="2:21" s="7" customFormat="1" x14ac:dyDescent="0.25">
      <c r="J170" s="64"/>
      <c r="K170" s="64"/>
      <c r="L170" s="64"/>
    </row>
    <row r="171" spans="2:21" s="7" customFormat="1" ht="22.5" customHeight="1" x14ac:dyDescent="0.25"/>
    <row r="172" spans="2:21" s="7" customFormat="1" ht="18" thickBot="1" x14ac:dyDescent="0.35">
      <c r="B172" s="295" t="s">
        <v>77</v>
      </c>
      <c r="C172" s="295"/>
      <c r="D172" s="295"/>
      <c r="E172" s="295"/>
      <c r="F172" s="295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140"/>
      <c r="R172" s="140"/>
      <c r="S172" s="140"/>
      <c r="T172" s="140"/>
      <c r="U172" s="140"/>
    </row>
    <row r="173" spans="2:21" s="7" customFormat="1" ht="16.5" customHeight="1" thickTop="1" thickBot="1" x14ac:dyDescent="0.3">
      <c r="B173" s="296" t="s">
        <v>0</v>
      </c>
      <c r="C173" s="296"/>
      <c r="D173" s="296"/>
      <c r="E173" s="296" t="s">
        <v>1</v>
      </c>
      <c r="F173" s="296" t="s">
        <v>2</v>
      </c>
      <c r="G173" s="319" t="s">
        <v>3</v>
      </c>
      <c r="H173" s="319" t="s">
        <v>4</v>
      </c>
      <c r="I173" s="319" t="s">
        <v>5</v>
      </c>
      <c r="J173" s="319" t="s">
        <v>6</v>
      </c>
      <c r="K173" s="319" t="s">
        <v>7</v>
      </c>
      <c r="L173" s="319"/>
      <c r="M173" s="319"/>
      <c r="N173" s="319"/>
      <c r="O173" s="296" t="s">
        <v>8</v>
      </c>
      <c r="P173" s="296" t="s">
        <v>9</v>
      </c>
      <c r="Q173" s="296"/>
      <c r="R173" s="296"/>
      <c r="S173" s="296"/>
      <c r="T173" s="296"/>
      <c r="U173" s="296"/>
    </row>
    <row r="174" spans="2:21" s="7" customFormat="1" ht="24.75" customHeight="1" thickTop="1" thickBot="1" x14ac:dyDescent="0.3">
      <c r="B174" s="150" t="s">
        <v>10</v>
      </c>
      <c r="C174" s="150" t="s">
        <v>11</v>
      </c>
      <c r="D174" s="150" t="s">
        <v>12</v>
      </c>
      <c r="E174" s="326"/>
      <c r="F174" s="326"/>
      <c r="G174" s="325"/>
      <c r="H174" s="325"/>
      <c r="I174" s="325"/>
      <c r="J174" s="325"/>
      <c r="K174" s="151" t="s">
        <v>13</v>
      </c>
      <c r="L174" s="151" t="s">
        <v>14</v>
      </c>
      <c r="M174" s="151" t="s">
        <v>116</v>
      </c>
      <c r="N174" s="151" t="s">
        <v>15</v>
      </c>
      <c r="O174" s="326"/>
      <c r="P174" s="326"/>
      <c r="Q174" s="326"/>
      <c r="R174" s="326"/>
      <c r="S174" s="326"/>
      <c r="T174" s="326"/>
      <c r="U174" s="326"/>
    </row>
    <row r="175" spans="2:21" s="7" customFormat="1" ht="261.75" customHeight="1" thickTop="1" thickBot="1" x14ac:dyDescent="0.3">
      <c r="B175" s="84" t="s">
        <v>79</v>
      </c>
      <c r="C175" s="84" t="s">
        <v>80</v>
      </c>
      <c r="D175" s="84">
        <v>6</v>
      </c>
      <c r="E175" s="152" t="s">
        <v>150</v>
      </c>
      <c r="F175" s="83" t="s">
        <v>65</v>
      </c>
      <c r="G175" s="84" t="s">
        <v>66</v>
      </c>
      <c r="H175" s="84" t="s">
        <v>67</v>
      </c>
      <c r="I175" s="84">
        <v>29</v>
      </c>
      <c r="J175" s="84">
        <f>SUM(K175:N175)</f>
        <v>40</v>
      </c>
      <c r="K175" s="85">
        <v>0</v>
      </c>
      <c r="L175" s="85">
        <v>5</v>
      </c>
      <c r="M175" s="85">
        <v>9</v>
      </c>
      <c r="N175" s="86">
        <v>26</v>
      </c>
      <c r="O175" s="153">
        <f>SUM(J180:J189)</f>
        <v>12056696.01</v>
      </c>
      <c r="P175" s="320" t="s">
        <v>154</v>
      </c>
      <c r="Q175" s="320"/>
      <c r="R175" s="320"/>
      <c r="S175" s="320"/>
      <c r="T175" s="320"/>
      <c r="U175" s="320"/>
    </row>
    <row r="176" spans="2:21" s="7" customFormat="1" x14ac:dyDescent="0.25">
      <c r="B176" s="87"/>
      <c r="C176" s="87"/>
      <c r="D176" s="87"/>
      <c r="E176" s="88"/>
      <c r="F176" s="89"/>
      <c r="G176" s="87"/>
      <c r="H176" s="87"/>
      <c r="I176" s="87"/>
      <c r="J176" s="87"/>
      <c r="K176" s="78"/>
      <c r="L176" s="78"/>
      <c r="M176" s="78"/>
      <c r="N176" s="18"/>
      <c r="O176" s="87"/>
      <c r="P176" s="90"/>
      <c r="Q176" s="90"/>
      <c r="R176" s="90"/>
      <c r="S176" s="90"/>
      <c r="T176" s="90"/>
      <c r="U176" s="90"/>
    </row>
    <row r="177" spans="2:21" s="7" customFormat="1" ht="18" thickBot="1" x14ac:dyDescent="0.35">
      <c r="B177" s="295" t="s">
        <v>78</v>
      </c>
      <c r="C177" s="295"/>
      <c r="D177" s="295"/>
      <c r="E177" s="295"/>
      <c r="F177" s="295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</row>
    <row r="178" spans="2:21" s="7" customFormat="1" ht="17.25" customHeight="1" thickTop="1" thickBot="1" x14ac:dyDescent="0.3">
      <c r="B178" s="296" t="s">
        <v>0</v>
      </c>
      <c r="C178" s="296"/>
      <c r="D178" s="296"/>
      <c r="E178" s="296" t="s">
        <v>19</v>
      </c>
      <c r="F178" s="296"/>
      <c r="G178" s="319" t="s">
        <v>20</v>
      </c>
      <c r="H178" s="319"/>
      <c r="I178" s="319"/>
      <c r="J178" s="319"/>
      <c r="K178" s="319" t="s">
        <v>21</v>
      </c>
      <c r="L178" s="319"/>
      <c r="M178" s="319"/>
      <c r="N178" s="319"/>
      <c r="O178" s="296" t="s">
        <v>22</v>
      </c>
      <c r="P178" s="319" t="s">
        <v>23</v>
      </c>
      <c r="Q178" s="319"/>
      <c r="R178" s="319"/>
      <c r="S178" s="319"/>
      <c r="T178" s="319"/>
      <c r="U178" s="319"/>
    </row>
    <row r="179" spans="2:21" s="7" customFormat="1" ht="60" customHeight="1" thickTop="1" thickBot="1" x14ac:dyDescent="0.3">
      <c r="B179" s="34" t="s">
        <v>10</v>
      </c>
      <c r="C179" s="34" t="s">
        <v>11</v>
      </c>
      <c r="D179" s="34" t="s">
        <v>12</v>
      </c>
      <c r="E179" s="296"/>
      <c r="F179" s="296"/>
      <c r="G179" s="12" t="s">
        <v>36</v>
      </c>
      <c r="H179" s="12" t="s">
        <v>24</v>
      </c>
      <c r="I179" s="12" t="s">
        <v>25</v>
      </c>
      <c r="J179" s="12" t="s">
        <v>26</v>
      </c>
      <c r="K179" s="12" t="s">
        <v>13</v>
      </c>
      <c r="L179" s="12" t="s">
        <v>14</v>
      </c>
      <c r="M179" s="12" t="s">
        <v>116</v>
      </c>
      <c r="N179" s="12" t="s">
        <v>15</v>
      </c>
      <c r="O179" s="296"/>
      <c r="P179" s="13" t="s">
        <v>27</v>
      </c>
      <c r="Q179" s="13" t="s">
        <v>28</v>
      </c>
      <c r="R179" s="13" t="s">
        <v>29</v>
      </c>
      <c r="S179" s="13" t="s">
        <v>30</v>
      </c>
      <c r="T179" s="13" t="s">
        <v>31</v>
      </c>
      <c r="U179" s="13" t="s">
        <v>32</v>
      </c>
    </row>
    <row r="180" spans="2:21" s="7" customFormat="1" ht="35.1" customHeight="1" thickTop="1" thickBot="1" x14ac:dyDescent="0.3">
      <c r="B180" s="321" t="s">
        <v>79</v>
      </c>
      <c r="C180" s="321" t="s">
        <v>80</v>
      </c>
      <c r="D180" s="321">
        <v>6</v>
      </c>
      <c r="E180" s="322" t="s">
        <v>148</v>
      </c>
      <c r="F180" s="323"/>
      <c r="G180" s="154" t="s">
        <v>140</v>
      </c>
      <c r="H180" s="47">
        <v>11</v>
      </c>
      <c r="I180" s="46">
        <v>405090.91</v>
      </c>
      <c r="J180" s="96">
        <f t="shared" ref="J180:J189" si="13">+H180*I180</f>
        <v>4456000.01</v>
      </c>
      <c r="K180" s="50">
        <f>+I180*H180/4</f>
        <v>1114000.0024999999</v>
      </c>
      <c r="L180" s="50">
        <f t="shared" ref="L180:N181" si="14">+K180</f>
        <v>1114000.0024999999</v>
      </c>
      <c r="M180" s="50">
        <f t="shared" si="14"/>
        <v>1114000.0024999999</v>
      </c>
      <c r="N180" s="50">
        <f t="shared" si="14"/>
        <v>1114000.0024999999</v>
      </c>
      <c r="O180" s="47" t="s">
        <v>42</v>
      </c>
      <c r="P180" s="194">
        <v>98</v>
      </c>
      <c r="Q180" s="194">
        <v>2071</v>
      </c>
      <c r="R180" s="47">
        <v>2</v>
      </c>
      <c r="S180" s="47">
        <v>8</v>
      </c>
      <c r="T180" s="47">
        <v>7</v>
      </c>
      <c r="U180" s="47">
        <v>6</v>
      </c>
    </row>
    <row r="181" spans="2:21" s="7" customFormat="1" ht="39" customHeight="1" thickBot="1" x14ac:dyDescent="0.3">
      <c r="B181" s="304"/>
      <c r="C181" s="304"/>
      <c r="D181" s="304"/>
      <c r="E181" s="324"/>
      <c r="F181" s="324"/>
      <c r="G181" s="77" t="s">
        <v>38</v>
      </c>
      <c r="H181" s="35">
        <f>970+350</f>
        <v>1320</v>
      </c>
      <c r="I181" s="96">
        <v>1300</v>
      </c>
      <c r="J181" s="96">
        <f t="shared" si="13"/>
        <v>1716000</v>
      </c>
      <c r="K181" s="97">
        <f>+I181*H181/4</f>
        <v>429000</v>
      </c>
      <c r="L181" s="97">
        <f t="shared" si="14"/>
        <v>429000</v>
      </c>
      <c r="M181" s="97">
        <f t="shared" si="14"/>
        <v>429000</v>
      </c>
      <c r="N181" s="97">
        <f t="shared" si="14"/>
        <v>429000</v>
      </c>
      <c r="O181" s="35" t="s">
        <v>42</v>
      </c>
      <c r="P181" s="194">
        <v>98</v>
      </c>
      <c r="Q181" s="194">
        <v>2071</v>
      </c>
      <c r="R181" s="35">
        <v>2</v>
      </c>
      <c r="S181" s="35">
        <v>3</v>
      </c>
      <c r="T181" s="35">
        <v>1</v>
      </c>
      <c r="U181" s="35"/>
    </row>
    <row r="182" spans="2:21" s="7" customFormat="1" ht="36.75" customHeight="1" thickBot="1" x14ac:dyDescent="0.3">
      <c r="B182" s="304"/>
      <c r="C182" s="304"/>
      <c r="D182" s="304"/>
      <c r="E182" s="324"/>
      <c r="F182" s="324"/>
      <c r="G182" s="77" t="s">
        <v>107</v>
      </c>
      <c r="H182" s="35">
        <f>7740+1000</f>
        <v>8740</v>
      </c>
      <c r="I182" s="96">
        <v>240</v>
      </c>
      <c r="J182" s="106">
        <f t="shared" si="13"/>
        <v>2097600</v>
      </c>
      <c r="K182" s="159">
        <f>+I182*H182/4</f>
        <v>524400</v>
      </c>
      <c r="L182" s="159">
        <f>+J182/4</f>
        <v>524400</v>
      </c>
      <c r="M182" s="159">
        <f>+J182/4</f>
        <v>524400</v>
      </c>
      <c r="N182" s="159">
        <f>+M182</f>
        <v>524400</v>
      </c>
      <c r="O182" s="196" t="s">
        <v>42</v>
      </c>
      <c r="P182" s="194">
        <v>98</v>
      </c>
      <c r="Q182" s="194">
        <v>2071</v>
      </c>
      <c r="R182" s="35">
        <v>3</v>
      </c>
      <c r="S182" s="35">
        <v>7</v>
      </c>
      <c r="T182" s="35">
        <v>1</v>
      </c>
      <c r="U182" s="35">
        <v>2</v>
      </c>
    </row>
    <row r="183" spans="2:21" s="7" customFormat="1" ht="41.25" customHeight="1" thickBot="1" x14ac:dyDescent="0.3">
      <c r="B183" s="305"/>
      <c r="C183" s="305"/>
      <c r="D183" s="305"/>
      <c r="E183" s="324"/>
      <c r="F183" s="324"/>
      <c r="G183" s="77" t="s">
        <v>141</v>
      </c>
      <c r="H183" s="35">
        <f>120000+105000</f>
        <v>225000</v>
      </c>
      <c r="I183" s="96">
        <v>1.22</v>
      </c>
      <c r="J183" s="96">
        <f t="shared" si="13"/>
        <v>274500</v>
      </c>
      <c r="K183" s="97">
        <f>+I183*H183/4</f>
        <v>68625</v>
      </c>
      <c r="L183" s="97">
        <f>+K183</f>
        <v>68625</v>
      </c>
      <c r="M183" s="97">
        <f>+L183</f>
        <v>68625</v>
      </c>
      <c r="N183" s="97">
        <f>+M183</f>
        <v>68625</v>
      </c>
      <c r="O183" s="35" t="s">
        <v>42</v>
      </c>
      <c r="P183" s="194">
        <v>98</v>
      </c>
      <c r="Q183" s="194">
        <v>2071</v>
      </c>
      <c r="R183" s="35">
        <v>2</v>
      </c>
      <c r="S183" s="35">
        <v>2</v>
      </c>
      <c r="T183" s="35">
        <v>2</v>
      </c>
      <c r="U183" s="35"/>
    </row>
    <row r="184" spans="2:21" s="7" customFormat="1" ht="52.5" customHeight="1" thickBot="1" x14ac:dyDescent="0.3">
      <c r="B184" s="303" t="s">
        <v>79</v>
      </c>
      <c r="C184" s="303" t="s">
        <v>80</v>
      </c>
      <c r="D184" s="303">
        <v>6</v>
      </c>
      <c r="E184" s="299" t="s">
        <v>149</v>
      </c>
      <c r="F184" s="299"/>
      <c r="G184" s="155" t="s">
        <v>142</v>
      </c>
      <c r="H184" s="35">
        <v>1</v>
      </c>
      <c r="I184" s="96">
        <v>2600000</v>
      </c>
      <c r="J184" s="96">
        <f t="shared" si="13"/>
        <v>2600000</v>
      </c>
      <c r="K184" s="97">
        <f>+I184*H184/2</f>
        <v>1300000</v>
      </c>
      <c r="L184" s="108"/>
      <c r="M184" s="97"/>
      <c r="N184" s="97">
        <f>+K184</f>
        <v>1300000</v>
      </c>
      <c r="O184" s="35" t="s">
        <v>42</v>
      </c>
      <c r="P184" s="194">
        <v>98</v>
      </c>
      <c r="Q184" s="194">
        <v>2071</v>
      </c>
      <c r="R184" s="35">
        <v>2</v>
      </c>
      <c r="S184" s="35">
        <v>8</v>
      </c>
      <c r="T184" s="35">
        <v>7</v>
      </c>
      <c r="U184" s="35">
        <v>6</v>
      </c>
    </row>
    <row r="185" spans="2:21" s="7" customFormat="1" ht="45" customHeight="1" thickBot="1" x14ac:dyDescent="0.3">
      <c r="B185" s="304"/>
      <c r="C185" s="304"/>
      <c r="D185" s="304"/>
      <c r="E185" s="299"/>
      <c r="F185" s="299"/>
      <c r="G185" s="77" t="s">
        <v>143</v>
      </c>
      <c r="H185" s="35">
        <v>250</v>
      </c>
      <c r="I185" s="96">
        <v>1300</v>
      </c>
      <c r="J185" s="96">
        <f t="shared" si="13"/>
        <v>325000</v>
      </c>
      <c r="K185" s="97">
        <f>+I185*H185/3</f>
        <v>108333.33333333333</v>
      </c>
      <c r="L185" s="97">
        <f>+K185</f>
        <v>108333.33333333333</v>
      </c>
      <c r="M185" s="97">
        <f>+L185</f>
        <v>108333.33333333333</v>
      </c>
      <c r="N185" s="97"/>
      <c r="O185" s="35" t="s">
        <v>42</v>
      </c>
      <c r="P185" s="194">
        <v>98</v>
      </c>
      <c r="Q185" s="194">
        <v>2071</v>
      </c>
      <c r="R185" s="178">
        <v>2</v>
      </c>
      <c r="S185" s="178">
        <v>3</v>
      </c>
      <c r="T185" s="178">
        <v>1</v>
      </c>
      <c r="U185" s="178"/>
    </row>
    <row r="186" spans="2:21" s="7" customFormat="1" ht="45" customHeight="1" thickBot="1" x14ac:dyDescent="0.3">
      <c r="B186" s="304"/>
      <c r="C186" s="304"/>
      <c r="D186" s="304"/>
      <c r="E186" s="299"/>
      <c r="F186" s="299"/>
      <c r="G186" s="77" t="s">
        <v>144</v>
      </c>
      <c r="H186" s="35">
        <v>1495</v>
      </c>
      <c r="I186" s="96">
        <v>240</v>
      </c>
      <c r="J186" s="96">
        <f t="shared" si="13"/>
        <v>358800</v>
      </c>
      <c r="K186" s="97">
        <f>+I186*H186/3</f>
        <v>119600</v>
      </c>
      <c r="L186" s="97">
        <f>+K186</f>
        <v>119600</v>
      </c>
      <c r="M186" s="97">
        <f>+L186</f>
        <v>119600</v>
      </c>
      <c r="N186" s="97"/>
      <c r="O186" s="35" t="s">
        <v>42</v>
      </c>
      <c r="P186" s="194">
        <v>98</v>
      </c>
      <c r="Q186" s="194">
        <v>2071</v>
      </c>
      <c r="R186" s="178">
        <v>3</v>
      </c>
      <c r="S186" s="178">
        <v>7</v>
      </c>
      <c r="T186" s="178">
        <v>1</v>
      </c>
      <c r="U186" s="178">
        <v>2</v>
      </c>
    </row>
    <row r="187" spans="2:21" s="7" customFormat="1" ht="45" customHeight="1" thickBot="1" x14ac:dyDescent="0.3">
      <c r="B187" s="304"/>
      <c r="C187" s="304"/>
      <c r="D187" s="304"/>
      <c r="E187" s="299"/>
      <c r="F187" s="299"/>
      <c r="G187" s="77" t="s">
        <v>145</v>
      </c>
      <c r="H187" s="35">
        <v>7</v>
      </c>
      <c r="I187" s="96">
        <v>25000</v>
      </c>
      <c r="J187" s="96">
        <f t="shared" si="13"/>
        <v>175000</v>
      </c>
      <c r="K187" s="97"/>
      <c r="L187" s="97"/>
      <c r="M187" s="97">
        <f>+I187*H187</f>
        <v>175000</v>
      </c>
      <c r="N187" s="97"/>
      <c r="O187" s="35" t="s">
        <v>42</v>
      </c>
      <c r="P187" s="194">
        <v>98</v>
      </c>
      <c r="Q187" s="194">
        <v>2071</v>
      </c>
      <c r="R187" s="35">
        <v>3</v>
      </c>
      <c r="S187" s="35">
        <v>1</v>
      </c>
      <c r="T187" s="35">
        <v>1</v>
      </c>
      <c r="U187" s="35">
        <v>1</v>
      </c>
    </row>
    <row r="188" spans="2:21" s="7" customFormat="1" ht="45" customHeight="1" thickBot="1" x14ac:dyDescent="0.3">
      <c r="B188" s="304"/>
      <c r="C188" s="304"/>
      <c r="D188" s="304"/>
      <c r="E188" s="299"/>
      <c r="F188" s="299"/>
      <c r="G188" s="77" t="s">
        <v>146</v>
      </c>
      <c r="H188" s="35">
        <v>76</v>
      </c>
      <c r="I188" s="96">
        <v>390</v>
      </c>
      <c r="J188" s="96">
        <f t="shared" si="13"/>
        <v>29640</v>
      </c>
      <c r="K188" s="97"/>
      <c r="L188" s="97"/>
      <c r="M188" s="97">
        <f>+I188*H188</f>
        <v>29640</v>
      </c>
      <c r="N188" s="97"/>
      <c r="O188" s="193" t="s">
        <v>42</v>
      </c>
      <c r="P188" s="194">
        <v>98</v>
      </c>
      <c r="Q188" s="194">
        <v>2071</v>
      </c>
      <c r="R188" s="35">
        <v>2</v>
      </c>
      <c r="S188" s="35">
        <v>4</v>
      </c>
      <c r="T188" s="35">
        <v>1</v>
      </c>
      <c r="U188" s="35"/>
    </row>
    <row r="189" spans="2:21" s="7" customFormat="1" ht="49.5" customHeight="1" thickBot="1" x14ac:dyDescent="0.3">
      <c r="B189" s="305"/>
      <c r="C189" s="305"/>
      <c r="D189" s="305"/>
      <c r="E189" s="299"/>
      <c r="F189" s="299"/>
      <c r="G189" s="77" t="s">
        <v>147</v>
      </c>
      <c r="H189" s="35">
        <v>19800</v>
      </c>
      <c r="I189" s="96">
        <v>1.22</v>
      </c>
      <c r="J189" s="96">
        <f t="shared" si="13"/>
        <v>24156</v>
      </c>
      <c r="K189" s="97">
        <f>+I189*H189/2</f>
        <v>12078</v>
      </c>
      <c r="L189" s="97">
        <f>+K189</f>
        <v>12078</v>
      </c>
      <c r="M189" s="97"/>
      <c r="N189" s="97"/>
      <c r="O189" s="35" t="s">
        <v>42</v>
      </c>
      <c r="P189" s="194">
        <v>98</v>
      </c>
      <c r="Q189" s="194">
        <v>2071</v>
      </c>
      <c r="R189" s="35">
        <v>2</v>
      </c>
      <c r="S189" s="35">
        <v>2</v>
      </c>
      <c r="T189" s="35">
        <v>2</v>
      </c>
      <c r="U189" s="35"/>
    </row>
    <row r="190" spans="2:21" s="7" customFormat="1" x14ac:dyDescent="0.25">
      <c r="B190" s="17"/>
      <c r="C190" s="17"/>
      <c r="D190" s="17"/>
      <c r="E190" s="17"/>
      <c r="F190" s="17"/>
      <c r="G190" s="17"/>
      <c r="H190" s="9"/>
      <c r="I190" s="9"/>
      <c r="J190" s="10"/>
      <c r="K190" s="9"/>
      <c r="L190" s="9"/>
      <c r="M190" s="9"/>
      <c r="N190" s="18"/>
      <c r="O190" s="9"/>
      <c r="P190" s="9"/>
      <c r="Q190" s="9"/>
      <c r="R190" s="9"/>
      <c r="S190" s="9"/>
      <c r="T190" s="9"/>
      <c r="U190" s="9"/>
    </row>
    <row r="191" spans="2:21" s="7" customFormat="1" ht="16.5" customHeight="1" thickBot="1" x14ac:dyDescent="0.35">
      <c r="B191" s="295" t="s">
        <v>77</v>
      </c>
      <c r="C191" s="295"/>
      <c r="D191" s="295"/>
      <c r="E191" s="295"/>
      <c r="F191" s="295"/>
      <c r="G191" s="140"/>
      <c r="H191" s="156"/>
      <c r="I191" s="140"/>
      <c r="J191" s="14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</row>
    <row r="192" spans="2:21" s="7" customFormat="1" ht="25.5" customHeight="1" thickTop="1" thickBot="1" x14ac:dyDescent="0.3">
      <c r="B192" s="296" t="s">
        <v>0</v>
      </c>
      <c r="C192" s="296"/>
      <c r="D192" s="296"/>
      <c r="E192" s="296" t="s">
        <v>1</v>
      </c>
      <c r="F192" s="296" t="s">
        <v>2</v>
      </c>
      <c r="G192" s="319" t="s">
        <v>3</v>
      </c>
      <c r="H192" s="319" t="s">
        <v>4</v>
      </c>
      <c r="I192" s="319" t="s">
        <v>5</v>
      </c>
      <c r="J192" s="319" t="s">
        <v>6</v>
      </c>
      <c r="K192" s="319" t="s">
        <v>7</v>
      </c>
      <c r="L192" s="319"/>
      <c r="M192" s="319"/>
      <c r="N192" s="319"/>
      <c r="O192" s="296" t="s">
        <v>8</v>
      </c>
      <c r="P192" s="296" t="s">
        <v>9</v>
      </c>
      <c r="Q192" s="296"/>
      <c r="R192" s="296"/>
      <c r="S192" s="296"/>
      <c r="T192" s="296"/>
      <c r="U192" s="296"/>
    </row>
    <row r="193" spans="2:21" s="7" customFormat="1" ht="36.75" customHeight="1" thickTop="1" thickBot="1" x14ac:dyDescent="0.3">
      <c r="B193" s="34" t="s">
        <v>10</v>
      </c>
      <c r="C193" s="34" t="s">
        <v>11</v>
      </c>
      <c r="D193" s="34" t="s">
        <v>12</v>
      </c>
      <c r="E193" s="296"/>
      <c r="F193" s="296"/>
      <c r="G193" s="319"/>
      <c r="H193" s="319"/>
      <c r="I193" s="319"/>
      <c r="J193" s="319"/>
      <c r="K193" s="12" t="s">
        <v>13</v>
      </c>
      <c r="L193" s="12" t="s">
        <v>14</v>
      </c>
      <c r="M193" s="12" t="s">
        <v>116</v>
      </c>
      <c r="N193" s="12" t="s">
        <v>15</v>
      </c>
      <c r="O193" s="296"/>
      <c r="P193" s="296"/>
      <c r="Q193" s="296"/>
      <c r="R193" s="296"/>
      <c r="S193" s="296"/>
      <c r="T193" s="296"/>
      <c r="U193" s="296"/>
    </row>
    <row r="194" spans="2:21" s="7" customFormat="1" ht="173.25" customHeight="1" thickTop="1" thickBot="1" x14ac:dyDescent="0.3">
      <c r="B194" s="47" t="s">
        <v>79</v>
      </c>
      <c r="C194" s="47" t="s">
        <v>80</v>
      </c>
      <c r="D194" s="47">
        <v>6</v>
      </c>
      <c r="E194" s="41" t="s">
        <v>151</v>
      </c>
      <c r="F194" s="42" t="s">
        <v>68</v>
      </c>
      <c r="G194" s="47" t="s">
        <v>69</v>
      </c>
      <c r="H194" s="47" t="s">
        <v>70</v>
      </c>
      <c r="I194" s="47"/>
      <c r="J194" s="47">
        <f>SUM(K194:N194)</f>
        <v>52004</v>
      </c>
      <c r="K194" s="44">
        <f>3739+905</f>
        <v>4644</v>
      </c>
      <c r="L194" s="44">
        <f>4261+13304</f>
        <v>17565</v>
      </c>
      <c r="M194" s="44">
        <f>3773+7611</f>
        <v>11384</v>
      </c>
      <c r="N194" s="45">
        <f>3750+14661</f>
        <v>18411</v>
      </c>
      <c r="O194" s="50">
        <f>SUM(J199:J274)</f>
        <v>90986945.680000007</v>
      </c>
      <c r="P194" s="316" t="s">
        <v>71</v>
      </c>
      <c r="Q194" s="317"/>
      <c r="R194" s="317"/>
      <c r="S194" s="317"/>
      <c r="T194" s="317"/>
      <c r="U194" s="318"/>
    </row>
    <row r="195" spans="2:21" s="7" customFormat="1" x14ac:dyDescent="0.25">
      <c r="B195" s="87"/>
      <c r="C195" s="87"/>
      <c r="D195" s="87"/>
      <c r="E195" s="91"/>
      <c r="F195" s="92"/>
      <c r="G195" s="87"/>
      <c r="H195" s="87"/>
      <c r="I195" s="87"/>
      <c r="J195" s="87"/>
      <c r="K195" s="78"/>
      <c r="L195" s="78"/>
      <c r="M195" s="78"/>
      <c r="N195" s="18"/>
      <c r="O195" s="87"/>
      <c r="P195" s="87"/>
      <c r="Q195" s="87"/>
      <c r="R195" s="87"/>
      <c r="S195" s="87"/>
      <c r="T195" s="87"/>
      <c r="U195" s="87"/>
    </row>
    <row r="196" spans="2:21" s="7" customFormat="1" ht="18" thickBot="1" x14ac:dyDescent="0.35">
      <c r="B196" s="295" t="s">
        <v>78</v>
      </c>
      <c r="C196" s="295"/>
      <c r="D196" s="295"/>
      <c r="E196" s="295"/>
      <c r="F196" s="295"/>
      <c r="H196" s="65"/>
      <c r="N196" s="64"/>
    </row>
    <row r="197" spans="2:21" s="7" customFormat="1" ht="26.25" customHeight="1" thickTop="1" thickBot="1" x14ac:dyDescent="0.3">
      <c r="B197" s="296" t="s">
        <v>0</v>
      </c>
      <c r="C197" s="296"/>
      <c r="D197" s="296"/>
      <c r="E197" s="296" t="s">
        <v>19</v>
      </c>
      <c r="F197" s="296"/>
      <c r="G197" s="319" t="s">
        <v>20</v>
      </c>
      <c r="H197" s="319"/>
      <c r="I197" s="319"/>
      <c r="J197" s="319"/>
      <c r="K197" s="319" t="s">
        <v>21</v>
      </c>
      <c r="L197" s="319"/>
      <c r="M197" s="319"/>
      <c r="N197" s="319"/>
      <c r="O197" s="296" t="s">
        <v>22</v>
      </c>
      <c r="P197" s="319" t="s">
        <v>23</v>
      </c>
      <c r="Q197" s="319"/>
      <c r="R197" s="319"/>
      <c r="S197" s="319"/>
      <c r="T197" s="319"/>
      <c r="U197" s="319"/>
    </row>
    <row r="198" spans="2:21" s="7" customFormat="1" ht="54" customHeight="1" thickTop="1" thickBot="1" x14ac:dyDescent="0.3">
      <c r="B198" s="34" t="s">
        <v>10</v>
      </c>
      <c r="C198" s="34" t="s">
        <v>11</v>
      </c>
      <c r="D198" s="34" t="s">
        <v>12</v>
      </c>
      <c r="E198" s="296"/>
      <c r="F198" s="296"/>
      <c r="G198" s="12" t="s">
        <v>36</v>
      </c>
      <c r="H198" s="12" t="s">
        <v>24</v>
      </c>
      <c r="I198" s="12" t="s">
        <v>25</v>
      </c>
      <c r="J198" s="12" t="s">
        <v>26</v>
      </c>
      <c r="K198" s="12" t="s">
        <v>13</v>
      </c>
      <c r="L198" s="12" t="s">
        <v>14</v>
      </c>
      <c r="M198" s="12" t="s">
        <v>116</v>
      </c>
      <c r="N198" s="12" t="s">
        <v>15</v>
      </c>
      <c r="O198" s="296"/>
      <c r="P198" s="13" t="s">
        <v>27</v>
      </c>
      <c r="Q198" s="13" t="s">
        <v>28</v>
      </c>
      <c r="R198" s="13" t="s">
        <v>29</v>
      </c>
      <c r="S198" s="13" t="s">
        <v>30</v>
      </c>
      <c r="T198" s="13" t="s">
        <v>31</v>
      </c>
      <c r="U198" s="13" t="s">
        <v>32</v>
      </c>
    </row>
    <row r="199" spans="2:21" s="7" customFormat="1" ht="28.5" customHeight="1" thickTop="1" thickBot="1" x14ac:dyDescent="0.3">
      <c r="B199" s="321" t="s">
        <v>79</v>
      </c>
      <c r="C199" s="321" t="s">
        <v>80</v>
      </c>
      <c r="D199" s="321">
        <v>6</v>
      </c>
      <c r="E199" s="291" t="s">
        <v>155</v>
      </c>
      <c r="F199" s="291"/>
      <c r="G199" s="157" t="s">
        <v>156</v>
      </c>
      <c r="H199" s="44">
        <v>12</v>
      </c>
      <c r="I199" s="161">
        <v>190000</v>
      </c>
      <c r="J199" s="158">
        <f t="shared" ref="J199:J232" si="15">+H199*I199</f>
        <v>2280000</v>
      </c>
      <c r="K199" s="158">
        <v>570000</v>
      </c>
      <c r="L199" s="50">
        <v>570000</v>
      </c>
      <c r="M199" s="50">
        <v>570000</v>
      </c>
      <c r="N199" s="50">
        <v>570000</v>
      </c>
      <c r="O199" s="47" t="s">
        <v>42</v>
      </c>
      <c r="P199" s="194">
        <v>98</v>
      </c>
      <c r="Q199" s="194">
        <v>2071</v>
      </c>
      <c r="R199" s="47">
        <v>2</v>
      </c>
      <c r="S199" s="47">
        <v>1</v>
      </c>
      <c r="T199" s="47">
        <v>3</v>
      </c>
      <c r="U199" s="47"/>
    </row>
    <row r="200" spans="2:21" s="7" customFormat="1" ht="33" customHeight="1" thickBot="1" x14ac:dyDescent="0.3">
      <c r="B200" s="304"/>
      <c r="C200" s="304"/>
      <c r="D200" s="304"/>
      <c r="E200" s="299"/>
      <c r="F200" s="299"/>
      <c r="G200" s="93" t="s">
        <v>157</v>
      </c>
      <c r="H200" s="22">
        <v>4</v>
      </c>
      <c r="I200" s="106">
        <v>35400</v>
      </c>
      <c r="J200" s="159">
        <f t="shared" si="15"/>
        <v>141600</v>
      </c>
      <c r="K200" s="159">
        <v>35400</v>
      </c>
      <c r="L200" s="97">
        <v>35400</v>
      </c>
      <c r="M200" s="97">
        <v>35400</v>
      </c>
      <c r="N200" s="97">
        <v>35400</v>
      </c>
      <c r="O200" s="35" t="s">
        <v>42</v>
      </c>
      <c r="P200" s="194">
        <v>98</v>
      </c>
      <c r="Q200" s="194">
        <v>2071</v>
      </c>
      <c r="R200" s="35">
        <v>2</v>
      </c>
      <c r="S200" s="35">
        <v>8</v>
      </c>
      <c r="T200" s="35">
        <v>5</v>
      </c>
      <c r="U200" s="35">
        <v>1</v>
      </c>
    </row>
    <row r="201" spans="2:21" s="7" customFormat="1" ht="40.5" customHeight="1" thickBot="1" x14ac:dyDescent="0.3">
      <c r="B201" s="304"/>
      <c r="C201" s="304"/>
      <c r="D201" s="304"/>
      <c r="E201" s="299"/>
      <c r="F201" s="299"/>
      <c r="G201" s="93" t="s">
        <v>237</v>
      </c>
      <c r="H201" s="22">
        <v>12</v>
      </c>
      <c r="I201" s="106">
        <v>580</v>
      </c>
      <c r="J201" s="159">
        <f t="shared" si="15"/>
        <v>6960</v>
      </c>
      <c r="K201" s="159">
        <v>1740</v>
      </c>
      <c r="L201" s="97">
        <v>1740</v>
      </c>
      <c r="M201" s="97">
        <v>1740</v>
      </c>
      <c r="N201" s="97">
        <v>1740</v>
      </c>
      <c r="O201" s="35" t="s">
        <v>42</v>
      </c>
      <c r="P201" s="194">
        <v>98</v>
      </c>
      <c r="Q201" s="194">
        <v>2071</v>
      </c>
      <c r="R201" s="35">
        <v>2</v>
      </c>
      <c r="S201" s="35">
        <v>1</v>
      </c>
      <c r="T201" s="35">
        <v>7</v>
      </c>
      <c r="U201" s="35"/>
    </row>
    <row r="202" spans="2:21" s="7" customFormat="1" ht="31.5" customHeight="1" thickBot="1" x14ac:dyDescent="0.3">
      <c r="B202" s="304"/>
      <c r="C202" s="304"/>
      <c r="D202" s="304"/>
      <c r="E202" s="299"/>
      <c r="F202" s="299"/>
      <c r="G202" s="93" t="s">
        <v>158</v>
      </c>
      <c r="H202" s="22">
        <v>17</v>
      </c>
      <c r="I202" s="106">
        <v>10824</v>
      </c>
      <c r="J202" s="159">
        <f t="shared" si="15"/>
        <v>184008</v>
      </c>
      <c r="K202" s="159"/>
      <c r="L202" s="97"/>
      <c r="M202" s="97">
        <v>184008</v>
      </c>
      <c r="N202" s="97"/>
      <c r="O202" s="35" t="s">
        <v>42</v>
      </c>
      <c r="P202" s="194">
        <v>98</v>
      </c>
      <c r="Q202" s="194">
        <v>2071</v>
      </c>
      <c r="R202" s="35">
        <v>2</v>
      </c>
      <c r="S202" s="35">
        <v>8</v>
      </c>
      <c r="T202" s="35">
        <v>8</v>
      </c>
      <c r="U202" s="35">
        <v>1</v>
      </c>
    </row>
    <row r="203" spans="2:21" s="7" customFormat="1" ht="30" customHeight="1" thickBot="1" x14ac:dyDescent="0.3">
      <c r="B203" s="304"/>
      <c r="C203" s="304"/>
      <c r="D203" s="304"/>
      <c r="E203" s="299"/>
      <c r="F203" s="299"/>
      <c r="G203" s="93" t="s">
        <v>159</v>
      </c>
      <c r="H203" s="22">
        <v>12</v>
      </c>
      <c r="I203" s="106">
        <v>2000</v>
      </c>
      <c r="J203" s="159">
        <f t="shared" si="15"/>
        <v>24000</v>
      </c>
      <c r="K203" s="159">
        <v>6000</v>
      </c>
      <c r="L203" s="97">
        <v>6000</v>
      </c>
      <c r="M203" s="97">
        <v>6000</v>
      </c>
      <c r="N203" s="97">
        <v>6000</v>
      </c>
      <c r="O203" s="35" t="s">
        <v>34</v>
      </c>
      <c r="P203" s="194">
        <v>98</v>
      </c>
      <c r="Q203" s="194">
        <v>2071</v>
      </c>
      <c r="R203" s="35">
        <v>2</v>
      </c>
      <c r="S203" s="35">
        <v>4</v>
      </c>
      <c r="T203" s="35">
        <v>3</v>
      </c>
      <c r="U203" s="35"/>
    </row>
    <row r="204" spans="2:21" s="7" customFormat="1" ht="30.75" thickBot="1" x14ac:dyDescent="0.3">
      <c r="B204" s="304"/>
      <c r="C204" s="304"/>
      <c r="D204" s="304"/>
      <c r="E204" s="299"/>
      <c r="F204" s="299"/>
      <c r="G204" s="93" t="s">
        <v>262</v>
      </c>
      <c r="H204" s="22">
        <v>12</v>
      </c>
      <c r="I204" s="106">
        <v>1800</v>
      </c>
      <c r="J204" s="159">
        <f t="shared" si="15"/>
        <v>21600</v>
      </c>
      <c r="K204" s="159">
        <v>5400</v>
      </c>
      <c r="L204" s="97">
        <v>5400</v>
      </c>
      <c r="M204" s="97">
        <v>5400</v>
      </c>
      <c r="N204" s="97">
        <v>5400</v>
      </c>
      <c r="O204" s="35" t="s">
        <v>42</v>
      </c>
      <c r="P204" s="194">
        <v>98</v>
      </c>
      <c r="Q204" s="194">
        <v>2071</v>
      </c>
      <c r="R204" s="35">
        <v>2</v>
      </c>
      <c r="S204" s="35">
        <v>1</v>
      </c>
      <c r="T204" s="35">
        <v>8</v>
      </c>
      <c r="U204" s="35"/>
    </row>
    <row r="205" spans="2:21" s="7" customFormat="1" ht="33.75" customHeight="1" thickBot="1" x14ac:dyDescent="0.3">
      <c r="B205" s="304"/>
      <c r="C205" s="304"/>
      <c r="D205" s="304"/>
      <c r="E205" s="299"/>
      <c r="F205" s="299"/>
      <c r="G205" s="93" t="s">
        <v>160</v>
      </c>
      <c r="H205" s="22">
        <v>52</v>
      </c>
      <c r="I205" s="106">
        <v>5500</v>
      </c>
      <c r="J205" s="159">
        <f t="shared" si="15"/>
        <v>286000</v>
      </c>
      <c r="K205" s="159">
        <v>71500</v>
      </c>
      <c r="L205" s="97">
        <v>71500</v>
      </c>
      <c r="M205" s="97">
        <v>71500</v>
      </c>
      <c r="N205" s="97">
        <v>71500</v>
      </c>
      <c r="O205" s="35" t="s">
        <v>34</v>
      </c>
      <c r="P205" s="194">
        <v>98</v>
      </c>
      <c r="Q205" s="194">
        <v>2071</v>
      </c>
      <c r="R205" s="35">
        <v>3</v>
      </c>
      <c r="S205" s="35">
        <v>1</v>
      </c>
      <c r="T205" s="35">
        <v>1</v>
      </c>
      <c r="U205" s="35">
        <v>1</v>
      </c>
    </row>
    <row r="206" spans="2:21" s="7" customFormat="1" ht="31.5" customHeight="1" thickBot="1" x14ac:dyDescent="0.3">
      <c r="B206" s="304"/>
      <c r="C206" s="304"/>
      <c r="D206" s="304"/>
      <c r="E206" s="299"/>
      <c r="F206" s="299"/>
      <c r="G206" s="93" t="s">
        <v>161</v>
      </c>
      <c r="H206" s="22">
        <v>12</v>
      </c>
      <c r="I206" s="106">
        <v>125000</v>
      </c>
      <c r="J206" s="159">
        <f t="shared" si="15"/>
        <v>1500000</v>
      </c>
      <c r="K206" s="159">
        <v>500000</v>
      </c>
      <c r="L206" s="97">
        <v>500000</v>
      </c>
      <c r="M206" s="97">
        <v>500000</v>
      </c>
      <c r="N206" s="97">
        <v>500000</v>
      </c>
      <c r="O206" s="35" t="s">
        <v>72</v>
      </c>
      <c r="P206" s="194">
        <v>98</v>
      </c>
      <c r="Q206" s="194">
        <v>2071</v>
      </c>
      <c r="R206" s="35">
        <v>2</v>
      </c>
      <c r="S206" s="35">
        <v>8</v>
      </c>
      <c r="T206" s="35">
        <v>2</v>
      </c>
      <c r="U206" s="35"/>
    </row>
    <row r="207" spans="2:21" s="7" customFormat="1" ht="31.5" customHeight="1" thickBot="1" x14ac:dyDescent="0.3">
      <c r="B207" s="305"/>
      <c r="C207" s="305"/>
      <c r="D207" s="305"/>
      <c r="E207" s="299"/>
      <c r="F207" s="299"/>
      <c r="G207" s="93" t="s">
        <v>162</v>
      </c>
      <c r="H207" s="22">
        <v>20</v>
      </c>
      <c r="I207" s="106">
        <v>950</v>
      </c>
      <c r="J207" s="159">
        <f t="shared" si="15"/>
        <v>19000</v>
      </c>
      <c r="K207" s="159">
        <v>4750</v>
      </c>
      <c r="L207" s="97">
        <v>4750</v>
      </c>
      <c r="M207" s="97">
        <v>4750</v>
      </c>
      <c r="N207" s="97">
        <v>4750</v>
      </c>
      <c r="O207" s="35" t="s">
        <v>42</v>
      </c>
      <c r="P207" s="194">
        <v>98</v>
      </c>
      <c r="Q207" s="194">
        <v>2071</v>
      </c>
      <c r="R207" s="35">
        <v>2</v>
      </c>
      <c r="S207" s="35">
        <v>8</v>
      </c>
      <c r="T207" s="35">
        <v>5</v>
      </c>
      <c r="U207" s="35">
        <v>2</v>
      </c>
    </row>
    <row r="208" spans="2:21" s="7" customFormat="1" ht="58.5" customHeight="1" thickBot="1" x14ac:dyDescent="0.3">
      <c r="B208" s="35" t="s">
        <v>79</v>
      </c>
      <c r="C208" s="35" t="s">
        <v>80</v>
      </c>
      <c r="D208" s="35">
        <v>6</v>
      </c>
      <c r="E208" s="314" t="s">
        <v>163</v>
      </c>
      <c r="F208" s="315"/>
      <c r="G208" s="93" t="s">
        <v>152</v>
      </c>
      <c r="H208" s="22">
        <v>12</v>
      </c>
      <c r="I208" s="106">
        <v>19407</v>
      </c>
      <c r="J208" s="159">
        <f t="shared" si="15"/>
        <v>232884</v>
      </c>
      <c r="K208" s="159">
        <v>58221</v>
      </c>
      <c r="L208" s="97">
        <v>58221</v>
      </c>
      <c r="M208" s="97">
        <v>58221</v>
      </c>
      <c r="N208" s="97">
        <v>58221</v>
      </c>
      <c r="O208" s="35" t="s">
        <v>42</v>
      </c>
      <c r="P208" s="194">
        <v>98</v>
      </c>
      <c r="Q208" s="194">
        <v>2071</v>
      </c>
      <c r="R208" s="35">
        <v>2</v>
      </c>
      <c r="S208" s="35">
        <v>1</v>
      </c>
      <c r="T208" s="35">
        <v>5</v>
      </c>
      <c r="U208" s="35"/>
    </row>
    <row r="209" spans="1:39" s="7" customFormat="1" ht="30.75" thickBot="1" x14ac:dyDescent="0.3">
      <c r="B209" s="303" t="s">
        <v>79</v>
      </c>
      <c r="C209" s="303" t="s">
        <v>80</v>
      </c>
      <c r="D209" s="303">
        <v>6</v>
      </c>
      <c r="E209" s="299" t="s">
        <v>164</v>
      </c>
      <c r="F209" s="299"/>
      <c r="G209" s="93" t="s">
        <v>165</v>
      </c>
      <c r="H209" s="22">
        <v>1</v>
      </c>
      <c r="I209" s="106">
        <v>990000</v>
      </c>
      <c r="J209" s="159">
        <f t="shared" si="15"/>
        <v>990000</v>
      </c>
      <c r="K209" s="159"/>
      <c r="L209" s="97"/>
      <c r="M209" s="97">
        <v>990000</v>
      </c>
      <c r="N209" s="97"/>
      <c r="O209" s="35" t="s">
        <v>42</v>
      </c>
      <c r="P209" s="194">
        <v>98</v>
      </c>
      <c r="Q209" s="194">
        <v>2071</v>
      </c>
      <c r="R209" s="35">
        <v>2</v>
      </c>
      <c r="S209" s="35">
        <v>6</v>
      </c>
      <c r="T209" s="35">
        <v>2</v>
      </c>
      <c r="U209" s="35"/>
    </row>
    <row r="210" spans="1:39" s="7" customFormat="1" ht="34.5" customHeight="1" thickBot="1" x14ac:dyDescent="0.3">
      <c r="B210" s="304"/>
      <c r="C210" s="304"/>
      <c r="D210" s="304"/>
      <c r="E210" s="299"/>
      <c r="F210" s="299"/>
      <c r="G210" s="93" t="s">
        <v>166</v>
      </c>
      <c r="H210" s="22">
        <v>1</v>
      </c>
      <c r="I210" s="106">
        <v>1900000</v>
      </c>
      <c r="J210" s="159">
        <f t="shared" si="15"/>
        <v>1900000</v>
      </c>
      <c r="K210" s="159">
        <v>420000</v>
      </c>
      <c r="L210" s="97">
        <v>480000</v>
      </c>
      <c r="M210" s="97">
        <v>500000</v>
      </c>
      <c r="N210" s="97">
        <v>500000</v>
      </c>
      <c r="O210" s="35" t="s">
        <v>42</v>
      </c>
      <c r="P210" s="194">
        <v>98</v>
      </c>
      <c r="Q210" s="194">
        <v>2071</v>
      </c>
      <c r="R210" s="35">
        <v>2</v>
      </c>
      <c r="S210" s="35">
        <v>6</v>
      </c>
      <c r="T210" s="35">
        <v>3</v>
      </c>
      <c r="U210" s="35"/>
    </row>
    <row r="211" spans="1:39" s="7" customFormat="1" ht="30.75" thickBot="1" x14ac:dyDescent="0.3">
      <c r="B211" s="304"/>
      <c r="C211" s="304"/>
      <c r="D211" s="304"/>
      <c r="E211" s="299"/>
      <c r="F211" s="299"/>
      <c r="G211" s="93" t="s">
        <v>167</v>
      </c>
      <c r="H211" s="22">
        <v>1</v>
      </c>
      <c r="I211" s="106">
        <v>325000</v>
      </c>
      <c r="J211" s="159">
        <f t="shared" si="15"/>
        <v>325000</v>
      </c>
      <c r="K211" s="159"/>
      <c r="L211" s="97"/>
      <c r="M211" s="97">
        <v>325000</v>
      </c>
      <c r="N211" s="97"/>
      <c r="O211" s="35" t="s">
        <v>42</v>
      </c>
      <c r="P211" s="194">
        <v>98</v>
      </c>
      <c r="Q211" s="194">
        <v>2071</v>
      </c>
      <c r="R211" s="35">
        <v>2</v>
      </c>
      <c r="S211" s="35">
        <v>6</v>
      </c>
      <c r="T211" s="35">
        <v>1</v>
      </c>
      <c r="U211" s="35"/>
    </row>
    <row r="212" spans="1:39" s="7" customFormat="1" ht="25.5" customHeight="1" thickBot="1" x14ac:dyDescent="0.3">
      <c r="B212" s="305"/>
      <c r="C212" s="305"/>
      <c r="D212" s="305"/>
      <c r="E212" s="299"/>
      <c r="F212" s="299"/>
      <c r="G212" s="93" t="s">
        <v>168</v>
      </c>
      <c r="H212" s="22">
        <v>12</v>
      </c>
      <c r="I212" s="106">
        <v>114483</v>
      </c>
      <c r="J212" s="159">
        <f t="shared" si="15"/>
        <v>1373796</v>
      </c>
      <c r="K212" s="159">
        <v>343449</v>
      </c>
      <c r="L212" s="159">
        <v>343449</v>
      </c>
      <c r="M212" s="159">
        <v>343449</v>
      </c>
      <c r="N212" s="159">
        <v>343449</v>
      </c>
      <c r="O212" s="35" t="s">
        <v>42</v>
      </c>
      <c r="P212" s="194">
        <v>98</v>
      </c>
      <c r="Q212" s="194">
        <v>2071</v>
      </c>
      <c r="R212" s="35">
        <v>1</v>
      </c>
      <c r="S212" s="35">
        <v>5</v>
      </c>
      <c r="T212" s="35">
        <v>1</v>
      </c>
      <c r="U212" s="35"/>
    </row>
    <row r="213" spans="1:39" s="7" customFormat="1" ht="39" customHeight="1" thickBot="1" x14ac:dyDescent="0.3">
      <c r="B213" s="303" t="s">
        <v>79</v>
      </c>
      <c r="C213" s="303" t="s">
        <v>80</v>
      </c>
      <c r="D213" s="303">
        <v>6</v>
      </c>
      <c r="E213" s="299" t="s">
        <v>169</v>
      </c>
      <c r="F213" s="299"/>
      <c r="G213" s="93" t="s">
        <v>170</v>
      </c>
      <c r="H213" s="22">
        <v>11538</v>
      </c>
      <c r="I213" s="106">
        <v>260</v>
      </c>
      <c r="J213" s="159">
        <f t="shared" si="15"/>
        <v>2999880</v>
      </c>
      <c r="K213" s="159">
        <v>749970</v>
      </c>
      <c r="L213" s="159">
        <v>749970</v>
      </c>
      <c r="M213" s="159">
        <v>749970</v>
      </c>
      <c r="N213" s="159">
        <v>749970</v>
      </c>
      <c r="O213" s="35" t="s">
        <v>42</v>
      </c>
      <c r="P213" s="194">
        <v>98</v>
      </c>
      <c r="Q213" s="194">
        <v>2071</v>
      </c>
      <c r="R213" s="35">
        <v>1</v>
      </c>
      <c r="S213" s="35">
        <v>2</v>
      </c>
      <c r="T213" s="35">
        <v>2</v>
      </c>
      <c r="U213" s="35">
        <v>4</v>
      </c>
    </row>
    <row r="214" spans="1:39" s="7" customFormat="1" ht="30.75" customHeight="1" thickBot="1" x14ac:dyDescent="0.3">
      <c r="B214" s="304"/>
      <c r="C214" s="304"/>
      <c r="D214" s="304"/>
      <c r="E214" s="299"/>
      <c r="F214" s="299"/>
      <c r="G214" s="93" t="s">
        <v>171</v>
      </c>
      <c r="H214" s="22">
        <v>2500</v>
      </c>
      <c r="I214" s="106">
        <v>240</v>
      </c>
      <c r="J214" s="159">
        <f t="shared" si="15"/>
        <v>600000</v>
      </c>
      <c r="K214" s="159">
        <v>150000</v>
      </c>
      <c r="L214" s="159">
        <v>150000</v>
      </c>
      <c r="M214" s="159">
        <v>150000</v>
      </c>
      <c r="N214" s="159">
        <v>150000</v>
      </c>
      <c r="O214" s="35" t="s">
        <v>42</v>
      </c>
      <c r="P214" s="194">
        <v>98</v>
      </c>
      <c r="Q214" s="194">
        <v>2071</v>
      </c>
      <c r="R214" s="35">
        <v>3</v>
      </c>
      <c r="S214" s="35">
        <v>7</v>
      </c>
      <c r="T214" s="35">
        <v>1</v>
      </c>
      <c r="U214" s="35">
        <v>2</v>
      </c>
    </row>
    <row r="215" spans="1:39" s="7" customFormat="1" ht="30.75" customHeight="1" thickBot="1" x14ac:dyDescent="0.3">
      <c r="B215" s="304"/>
      <c r="C215" s="304"/>
      <c r="D215" s="304"/>
      <c r="E215" s="299"/>
      <c r="F215" s="299"/>
      <c r="G215" s="93" t="s">
        <v>172</v>
      </c>
      <c r="H215" s="22">
        <v>100</v>
      </c>
      <c r="I215" s="106">
        <v>170</v>
      </c>
      <c r="J215" s="159">
        <f t="shared" si="15"/>
        <v>17000</v>
      </c>
      <c r="K215" s="159">
        <v>4250</v>
      </c>
      <c r="L215" s="159">
        <v>4250</v>
      </c>
      <c r="M215" s="159">
        <v>4250</v>
      </c>
      <c r="N215" s="159">
        <v>4250</v>
      </c>
      <c r="O215" s="35" t="s">
        <v>42</v>
      </c>
      <c r="P215" s="194">
        <v>98</v>
      </c>
      <c r="Q215" s="194">
        <v>2071</v>
      </c>
      <c r="R215" s="35">
        <v>3</v>
      </c>
      <c r="S215" s="35">
        <v>7</v>
      </c>
      <c r="T215" s="35">
        <v>1</v>
      </c>
      <c r="U215" s="35">
        <v>5</v>
      </c>
    </row>
    <row r="216" spans="1:39" s="7" customFormat="1" ht="34.5" customHeight="1" thickBot="1" x14ac:dyDescent="0.3">
      <c r="B216" s="304"/>
      <c r="C216" s="304"/>
      <c r="D216" s="304"/>
      <c r="E216" s="299"/>
      <c r="F216" s="299"/>
      <c r="G216" s="93" t="s">
        <v>173</v>
      </c>
      <c r="H216" s="22">
        <v>50</v>
      </c>
      <c r="I216" s="106">
        <v>180</v>
      </c>
      <c r="J216" s="159">
        <f t="shared" si="15"/>
        <v>9000</v>
      </c>
      <c r="K216" s="159">
        <v>2250</v>
      </c>
      <c r="L216" s="159">
        <v>2250</v>
      </c>
      <c r="M216" s="159">
        <v>2250</v>
      </c>
      <c r="N216" s="159">
        <v>2250</v>
      </c>
      <c r="O216" s="35" t="s">
        <v>42</v>
      </c>
      <c r="P216" s="194">
        <v>98</v>
      </c>
      <c r="Q216" s="194">
        <v>2071</v>
      </c>
      <c r="R216" s="35">
        <v>3</v>
      </c>
      <c r="S216" s="35">
        <v>7</v>
      </c>
      <c r="T216" s="35">
        <v>1</v>
      </c>
      <c r="U216" s="35">
        <v>5</v>
      </c>
    </row>
    <row r="217" spans="1:39" s="7" customFormat="1" ht="25.5" customHeight="1" thickBot="1" x14ac:dyDescent="0.3">
      <c r="B217" s="304"/>
      <c r="C217" s="304"/>
      <c r="D217" s="304"/>
      <c r="E217" s="299"/>
      <c r="F217" s="299"/>
      <c r="G217" s="93" t="s">
        <v>174</v>
      </c>
      <c r="H217" s="22">
        <v>40</v>
      </c>
      <c r="I217" s="106">
        <v>170</v>
      </c>
      <c r="J217" s="159">
        <f t="shared" si="15"/>
        <v>6800</v>
      </c>
      <c r="K217" s="159">
        <v>1700</v>
      </c>
      <c r="L217" s="159">
        <v>1700</v>
      </c>
      <c r="M217" s="159">
        <v>1700</v>
      </c>
      <c r="N217" s="159">
        <v>1700</v>
      </c>
      <c r="O217" s="35" t="s">
        <v>42</v>
      </c>
      <c r="P217" s="194">
        <v>98</v>
      </c>
      <c r="Q217" s="194">
        <v>2071</v>
      </c>
      <c r="R217" s="35">
        <v>3</v>
      </c>
      <c r="S217" s="35">
        <v>7</v>
      </c>
      <c r="T217" s="35">
        <v>1</v>
      </c>
      <c r="U217" s="35">
        <v>5</v>
      </c>
    </row>
    <row r="218" spans="1:39" s="7" customFormat="1" ht="31.5" customHeight="1" thickBot="1" x14ac:dyDescent="0.3">
      <c r="B218" s="304"/>
      <c r="C218" s="304"/>
      <c r="D218" s="304"/>
      <c r="E218" s="299"/>
      <c r="F218" s="299"/>
      <c r="G218" s="93" t="s">
        <v>175</v>
      </c>
      <c r="H218" s="22">
        <v>40</v>
      </c>
      <c r="I218" s="106">
        <v>150</v>
      </c>
      <c r="J218" s="159">
        <f t="shared" si="15"/>
        <v>6000</v>
      </c>
      <c r="K218" s="159">
        <v>1500</v>
      </c>
      <c r="L218" s="159">
        <v>1500</v>
      </c>
      <c r="M218" s="159">
        <v>1500</v>
      </c>
      <c r="N218" s="159">
        <v>1500</v>
      </c>
      <c r="O218" s="35" t="s">
        <v>42</v>
      </c>
      <c r="P218" s="194">
        <v>98</v>
      </c>
      <c r="Q218" s="194">
        <v>2071</v>
      </c>
      <c r="R218" s="35">
        <v>3</v>
      </c>
      <c r="S218" s="35">
        <v>7</v>
      </c>
      <c r="T218" s="35">
        <v>2</v>
      </c>
      <c r="U218" s="35"/>
    </row>
    <row r="219" spans="1:39" s="7" customFormat="1" ht="34.5" customHeight="1" thickBot="1" x14ac:dyDescent="0.3">
      <c r="B219" s="305"/>
      <c r="C219" s="305"/>
      <c r="D219" s="305"/>
      <c r="E219" s="299"/>
      <c r="F219" s="299"/>
      <c r="G219" s="93" t="s">
        <v>176</v>
      </c>
      <c r="H219" s="22">
        <v>60</v>
      </c>
      <c r="I219" s="106">
        <v>120</v>
      </c>
      <c r="J219" s="159">
        <f t="shared" si="15"/>
        <v>7200</v>
      </c>
      <c r="K219" s="159">
        <v>1800</v>
      </c>
      <c r="L219" s="159">
        <v>1800</v>
      </c>
      <c r="M219" s="159">
        <v>1800</v>
      </c>
      <c r="N219" s="159">
        <v>1800</v>
      </c>
      <c r="O219" s="35" t="s">
        <v>42</v>
      </c>
      <c r="P219" s="194">
        <v>98</v>
      </c>
      <c r="Q219" s="194">
        <v>2071</v>
      </c>
      <c r="R219" s="35">
        <v>3</v>
      </c>
      <c r="S219" s="35">
        <v>7</v>
      </c>
      <c r="T219" s="35">
        <v>1</v>
      </c>
      <c r="U219" s="35">
        <v>5</v>
      </c>
    </row>
    <row r="220" spans="1:39" s="7" customFormat="1" ht="30" customHeight="1" thickBot="1" x14ac:dyDescent="0.3">
      <c r="B220" s="303" t="s">
        <v>79</v>
      </c>
      <c r="C220" s="303" t="s">
        <v>80</v>
      </c>
      <c r="D220" s="303">
        <v>6</v>
      </c>
      <c r="E220" s="299" t="s">
        <v>180</v>
      </c>
      <c r="F220" s="299"/>
      <c r="G220" s="93" t="s">
        <v>177</v>
      </c>
      <c r="H220" s="22">
        <v>350</v>
      </c>
      <c r="I220" s="106">
        <v>17285</v>
      </c>
      <c r="J220" s="159">
        <f t="shared" si="15"/>
        <v>6049750</v>
      </c>
      <c r="K220" s="159"/>
      <c r="L220" s="159">
        <v>6049750</v>
      </c>
      <c r="M220" s="159"/>
      <c r="N220" s="159"/>
      <c r="O220" s="35" t="s">
        <v>42</v>
      </c>
      <c r="P220" s="194">
        <v>98</v>
      </c>
      <c r="Q220" s="194">
        <v>2071</v>
      </c>
      <c r="R220" s="35">
        <v>6</v>
      </c>
      <c r="S220" s="35">
        <v>5</v>
      </c>
      <c r="T220" s="35">
        <v>5</v>
      </c>
      <c r="U220" s="35"/>
    </row>
    <row r="221" spans="1:39" s="200" customFormat="1" ht="56.25" customHeight="1" thickBot="1" x14ac:dyDescent="0.3">
      <c r="A221" s="15"/>
      <c r="B221" s="304"/>
      <c r="C221" s="304"/>
      <c r="D221" s="304"/>
      <c r="E221" s="299"/>
      <c r="F221" s="299"/>
      <c r="G221" s="93" t="s">
        <v>274</v>
      </c>
      <c r="H221" s="22">
        <v>18</v>
      </c>
      <c r="I221" s="106">
        <v>150333</v>
      </c>
      <c r="J221" s="159">
        <f>+H221*I221</f>
        <v>2705994</v>
      </c>
      <c r="K221" s="159">
        <v>609000</v>
      </c>
      <c r="L221" s="159">
        <v>819000</v>
      </c>
      <c r="M221" s="159">
        <v>608994</v>
      </c>
      <c r="N221" s="159">
        <v>669000</v>
      </c>
      <c r="O221" s="22" t="s">
        <v>53</v>
      </c>
      <c r="P221" s="192">
        <v>98</v>
      </c>
      <c r="Q221" s="192">
        <v>2071</v>
      </c>
      <c r="R221" s="22">
        <v>6</v>
      </c>
      <c r="S221" s="22">
        <v>8</v>
      </c>
      <c r="T221" s="22">
        <v>8</v>
      </c>
      <c r="U221" s="22">
        <v>1</v>
      </c>
      <c r="V221" s="226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</row>
    <row r="222" spans="1:39" s="200" customFormat="1" ht="57.75" customHeight="1" thickBot="1" x14ac:dyDescent="0.3">
      <c r="A222" s="15"/>
      <c r="B222" s="304"/>
      <c r="C222" s="304"/>
      <c r="D222" s="304"/>
      <c r="E222" s="299"/>
      <c r="F222" s="299"/>
      <c r="G222" s="93" t="s">
        <v>275</v>
      </c>
      <c r="H222" s="22">
        <v>9</v>
      </c>
      <c r="I222" s="106">
        <v>228889</v>
      </c>
      <c r="J222" s="159">
        <f>+H222*I222</f>
        <v>2060001</v>
      </c>
      <c r="K222" s="159">
        <f>+J222/4</f>
        <v>515000.25</v>
      </c>
      <c r="L222" s="159">
        <f>+K222</f>
        <v>515000.25</v>
      </c>
      <c r="M222" s="159">
        <f>+L222</f>
        <v>515000.25</v>
      </c>
      <c r="N222" s="159">
        <f>+M222</f>
        <v>515000.25</v>
      </c>
      <c r="O222" s="22" t="s">
        <v>53</v>
      </c>
      <c r="P222" s="192">
        <v>98</v>
      </c>
      <c r="Q222" s="192">
        <v>2071</v>
      </c>
      <c r="R222" s="22">
        <v>2</v>
      </c>
      <c r="S222" s="22">
        <v>7</v>
      </c>
      <c r="T222" s="22">
        <v>2</v>
      </c>
      <c r="U222" s="22">
        <v>2</v>
      </c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</row>
    <row r="223" spans="1:39" s="7" customFormat="1" ht="35.1" customHeight="1" thickBot="1" x14ac:dyDescent="0.3">
      <c r="B223" s="304"/>
      <c r="C223" s="304"/>
      <c r="D223" s="304"/>
      <c r="E223" s="299"/>
      <c r="F223" s="299"/>
      <c r="G223" s="93" t="s">
        <v>178</v>
      </c>
      <c r="H223" s="22">
        <v>1</v>
      </c>
      <c r="I223" s="106">
        <v>1500000</v>
      </c>
      <c r="J223" s="159">
        <f t="shared" si="15"/>
        <v>1500000</v>
      </c>
      <c r="K223" s="159"/>
      <c r="L223" s="159">
        <v>1500000</v>
      </c>
      <c r="M223" s="159"/>
      <c r="N223" s="159"/>
      <c r="O223" s="22" t="s">
        <v>42</v>
      </c>
      <c r="P223" s="192">
        <v>98</v>
      </c>
      <c r="Q223" s="192">
        <v>2071</v>
      </c>
      <c r="R223" s="22">
        <v>6</v>
      </c>
      <c r="S223" s="22">
        <v>8</v>
      </c>
      <c r="T223" s="22">
        <v>3</v>
      </c>
      <c r="U223" s="22">
        <v>1</v>
      </c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</row>
    <row r="224" spans="1:39" s="7" customFormat="1" ht="24.75" customHeight="1" thickBot="1" x14ac:dyDescent="0.3">
      <c r="B224" s="304"/>
      <c r="C224" s="304"/>
      <c r="D224" s="304"/>
      <c r="E224" s="299"/>
      <c r="F224" s="299"/>
      <c r="G224" s="93" t="s">
        <v>179</v>
      </c>
      <c r="H224" s="22">
        <v>3</v>
      </c>
      <c r="I224" s="106">
        <f>165200+105000</f>
        <v>270200</v>
      </c>
      <c r="J224" s="159">
        <f t="shared" si="15"/>
        <v>810600</v>
      </c>
      <c r="K224" s="159"/>
      <c r="L224" s="159">
        <v>330400</v>
      </c>
      <c r="M224" s="159"/>
      <c r="N224" s="159">
        <v>480200</v>
      </c>
      <c r="O224" s="35" t="s">
        <v>42</v>
      </c>
      <c r="P224" s="194">
        <v>98</v>
      </c>
      <c r="Q224" s="194">
        <v>2071</v>
      </c>
      <c r="R224" s="35">
        <v>6</v>
      </c>
      <c r="S224" s="35">
        <v>5</v>
      </c>
      <c r="T224" s="35">
        <v>8</v>
      </c>
      <c r="U224" s="35"/>
    </row>
    <row r="225" spans="1:40" s="7" customFormat="1" ht="32.25" customHeight="1" thickBot="1" x14ac:dyDescent="0.3">
      <c r="B225" s="304"/>
      <c r="C225" s="304"/>
      <c r="D225" s="304"/>
      <c r="E225" s="299"/>
      <c r="F225" s="299"/>
      <c r="G225" s="93" t="s">
        <v>73</v>
      </c>
      <c r="H225" s="22">
        <v>10</v>
      </c>
      <c r="I225" s="106">
        <v>800</v>
      </c>
      <c r="J225" s="159">
        <f t="shared" si="15"/>
        <v>8000</v>
      </c>
      <c r="K225" s="159">
        <v>2000</v>
      </c>
      <c r="L225" s="159">
        <v>2000</v>
      </c>
      <c r="M225" s="159">
        <v>2000</v>
      </c>
      <c r="N225" s="159">
        <v>2000</v>
      </c>
      <c r="O225" s="35" t="s">
        <v>42</v>
      </c>
      <c r="P225" s="194">
        <v>98</v>
      </c>
      <c r="Q225" s="194">
        <v>2071</v>
      </c>
      <c r="R225" s="35">
        <v>3</v>
      </c>
      <c r="S225" s="35">
        <v>9</v>
      </c>
      <c r="T225" s="35">
        <v>8</v>
      </c>
      <c r="U225" s="35"/>
    </row>
    <row r="226" spans="1:40" s="7" customFormat="1" ht="28.5" customHeight="1" thickBot="1" x14ac:dyDescent="0.3">
      <c r="B226" s="304"/>
      <c r="C226" s="304"/>
      <c r="D226" s="304"/>
      <c r="E226" s="299"/>
      <c r="F226" s="299"/>
      <c r="G226" s="93" t="s">
        <v>74</v>
      </c>
      <c r="H226" s="22">
        <v>2</v>
      </c>
      <c r="I226" s="106">
        <v>14290</v>
      </c>
      <c r="J226" s="159">
        <f t="shared" si="15"/>
        <v>28580</v>
      </c>
      <c r="K226" s="159">
        <v>14290</v>
      </c>
      <c r="L226" s="159"/>
      <c r="M226" s="159">
        <v>14290</v>
      </c>
      <c r="N226" s="159"/>
      <c r="O226" s="35" t="s">
        <v>42</v>
      </c>
      <c r="P226" s="194">
        <v>98</v>
      </c>
      <c r="Q226" s="194">
        <v>2071</v>
      </c>
      <c r="R226" s="35">
        <v>2</v>
      </c>
      <c r="S226" s="35">
        <v>7</v>
      </c>
      <c r="T226" s="35">
        <v>2</v>
      </c>
      <c r="U226" s="35">
        <v>4</v>
      </c>
    </row>
    <row r="227" spans="1:40" s="7" customFormat="1" ht="35.1" customHeight="1" thickBot="1" x14ac:dyDescent="0.3">
      <c r="B227" s="305"/>
      <c r="C227" s="305"/>
      <c r="D227" s="305"/>
      <c r="E227" s="299"/>
      <c r="F227" s="299"/>
      <c r="G227" s="93" t="s">
        <v>181</v>
      </c>
      <c r="H227" s="22">
        <v>160</v>
      </c>
      <c r="I227" s="106">
        <v>10594</v>
      </c>
      <c r="J227" s="159">
        <f t="shared" si="15"/>
        <v>1695040</v>
      </c>
      <c r="K227" s="159"/>
      <c r="L227" s="159">
        <v>1695040</v>
      </c>
      <c r="M227" s="159"/>
      <c r="N227" s="159"/>
      <c r="O227" s="35" t="s">
        <v>42</v>
      </c>
      <c r="P227" s="194">
        <v>98</v>
      </c>
      <c r="Q227" s="194">
        <v>2071</v>
      </c>
      <c r="R227" s="35">
        <v>6</v>
      </c>
      <c r="S227" s="35">
        <v>8</v>
      </c>
      <c r="T227" s="35">
        <v>8</v>
      </c>
      <c r="U227" s="35">
        <v>1</v>
      </c>
    </row>
    <row r="228" spans="1:40" s="7" customFormat="1" ht="35.1" customHeight="1" thickBot="1" x14ac:dyDescent="0.3">
      <c r="A228" s="15"/>
      <c r="B228" s="35" t="s">
        <v>79</v>
      </c>
      <c r="C228" s="35" t="s">
        <v>80</v>
      </c>
      <c r="D228" s="35">
        <v>6</v>
      </c>
      <c r="E228" s="299" t="s">
        <v>182</v>
      </c>
      <c r="F228" s="299"/>
      <c r="G228" s="93" t="s">
        <v>183</v>
      </c>
      <c r="H228" s="22">
        <f>131+61</f>
        <v>192</v>
      </c>
      <c r="I228" s="106">
        <v>39917.54</v>
      </c>
      <c r="J228" s="159">
        <f t="shared" si="15"/>
        <v>7664167.6799999997</v>
      </c>
      <c r="K228" s="159">
        <f>J228/4</f>
        <v>1916041.92</v>
      </c>
      <c r="L228" s="159">
        <f t="shared" ref="L228:N228" si="16">K228</f>
        <v>1916041.92</v>
      </c>
      <c r="M228" s="159">
        <f t="shared" si="16"/>
        <v>1916041.92</v>
      </c>
      <c r="N228" s="159">
        <f t="shared" si="16"/>
        <v>1916041.92</v>
      </c>
      <c r="O228" s="35" t="s">
        <v>42</v>
      </c>
      <c r="P228" s="194">
        <v>98</v>
      </c>
      <c r="Q228" s="194">
        <v>2071</v>
      </c>
      <c r="R228" s="35">
        <v>3</v>
      </c>
      <c r="S228" s="35">
        <v>9</v>
      </c>
      <c r="T228" s="35">
        <v>9</v>
      </c>
      <c r="U228" s="35"/>
    </row>
    <row r="229" spans="1:40" s="200" customFormat="1" ht="48.75" customHeight="1" thickBot="1" x14ac:dyDescent="0.3">
      <c r="A229" s="15"/>
      <c r="B229" s="303" t="s">
        <v>79</v>
      </c>
      <c r="C229" s="303" t="s">
        <v>80</v>
      </c>
      <c r="D229" s="303">
        <v>6</v>
      </c>
      <c r="E229" s="299" t="s">
        <v>185</v>
      </c>
      <c r="F229" s="299"/>
      <c r="G229" s="93" t="s">
        <v>273</v>
      </c>
      <c r="H229" s="22">
        <v>92</v>
      </c>
      <c r="I229" s="106">
        <v>16230</v>
      </c>
      <c r="J229" s="159">
        <f>+H229*I229</f>
        <v>1493160</v>
      </c>
      <c r="K229" s="159">
        <v>373290</v>
      </c>
      <c r="L229" s="159">
        <v>373290</v>
      </c>
      <c r="M229" s="159">
        <v>373290</v>
      </c>
      <c r="N229" s="159">
        <v>373290</v>
      </c>
      <c r="O229" s="22" t="s">
        <v>42</v>
      </c>
      <c r="P229" s="192">
        <v>98</v>
      </c>
      <c r="Q229" s="192">
        <v>2071</v>
      </c>
      <c r="R229" s="22">
        <v>2</v>
      </c>
      <c r="S229" s="22">
        <v>7</v>
      </c>
      <c r="T229" s="22">
        <v>2</v>
      </c>
      <c r="U229" s="22">
        <v>6</v>
      </c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</row>
    <row r="230" spans="1:40" s="7" customFormat="1" ht="35.1" customHeight="1" thickBot="1" x14ac:dyDescent="0.3">
      <c r="B230" s="304"/>
      <c r="C230" s="304"/>
      <c r="D230" s="304"/>
      <c r="E230" s="299"/>
      <c r="F230" s="299"/>
      <c r="G230" s="93" t="s">
        <v>184</v>
      </c>
      <c r="H230" s="22">
        <v>45</v>
      </c>
      <c r="I230" s="106">
        <v>150</v>
      </c>
      <c r="J230" s="52">
        <f t="shared" si="15"/>
        <v>6750</v>
      </c>
      <c r="K230" s="159">
        <v>1688</v>
      </c>
      <c r="L230" s="97">
        <v>1688</v>
      </c>
      <c r="M230" s="97">
        <v>1688</v>
      </c>
      <c r="N230" s="97">
        <v>1688</v>
      </c>
      <c r="O230" s="35" t="s">
        <v>42</v>
      </c>
      <c r="P230" s="194">
        <v>98</v>
      </c>
      <c r="Q230" s="194">
        <v>2071</v>
      </c>
      <c r="R230" s="35">
        <v>3</v>
      </c>
      <c r="S230" s="35">
        <v>5</v>
      </c>
      <c r="T230" s="35">
        <v>4</v>
      </c>
      <c r="U230" s="35"/>
    </row>
    <row r="231" spans="1:40" s="7" customFormat="1" ht="35.1" customHeight="1" thickBot="1" x14ac:dyDescent="0.3">
      <c r="B231" s="304"/>
      <c r="C231" s="304"/>
      <c r="D231" s="304"/>
      <c r="E231" s="299"/>
      <c r="F231" s="299"/>
      <c r="G231" s="93" t="s">
        <v>186</v>
      </c>
      <c r="H231" s="22">
        <v>20</v>
      </c>
      <c r="I231" s="106">
        <v>7458</v>
      </c>
      <c r="J231" s="52">
        <f t="shared" si="15"/>
        <v>149160</v>
      </c>
      <c r="K231" s="159"/>
      <c r="L231" s="97">
        <v>49720</v>
      </c>
      <c r="M231" s="97">
        <v>49720</v>
      </c>
      <c r="N231" s="97">
        <v>49720</v>
      </c>
      <c r="O231" s="35" t="s">
        <v>42</v>
      </c>
      <c r="P231" s="194">
        <v>98</v>
      </c>
      <c r="Q231" s="194">
        <v>2071</v>
      </c>
      <c r="R231" s="35">
        <v>3</v>
      </c>
      <c r="S231" s="35">
        <v>5</v>
      </c>
      <c r="T231" s="35">
        <v>3</v>
      </c>
      <c r="U231" s="35"/>
    </row>
    <row r="232" spans="1:40" s="7" customFormat="1" ht="35.1" customHeight="1" thickBot="1" x14ac:dyDescent="0.3">
      <c r="B232" s="304"/>
      <c r="C232" s="304"/>
      <c r="D232" s="304"/>
      <c r="E232" s="299"/>
      <c r="F232" s="299"/>
      <c r="G232" s="93" t="s">
        <v>187</v>
      </c>
      <c r="H232" s="22">
        <v>13</v>
      </c>
      <c r="I232" s="106">
        <v>6650</v>
      </c>
      <c r="J232" s="52">
        <f t="shared" si="15"/>
        <v>86450</v>
      </c>
      <c r="K232" s="159">
        <v>21612.5</v>
      </c>
      <c r="L232" s="97">
        <v>21612.5</v>
      </c>
      <c r="M232" s="97">
        <v>21612.5</v>
      </c>
      <c r="N232" s="97">
        <v>21612.5</v>
      </c>
      <c r="O232" s="35" t="s">
        <v>42</v>
      </c>
      <c r="P232" s="194">
        <v>98</v>
      </c>
      <c r="Q232" s="194">
        <v>2071</v>
      </c>
      <c r="R232" s="35">
        <v>3</v>
      </c>
      <c r="S232" s="35">
        <v>9</v>
      </c>
      <c r="T232" s="35">
        <v>6</v>
      </c>
      <c r="U232" s="35"/>
    </row>
    <row r="233" spans="1:40" s="7" customFormat="1" ht="35.1" customHeight="1" thickBot="1" x14ac:dyDescent="0.3">
      <c r="B233" s="304"/>
      <c r="C233" s="304"/>
      <c r="D233" s="304"/>
      <c r="E233" s="299"/>
      <c r="F233" s="299"/>
      <c r="G233" s="93" t="s">
        <v>188</v>
      </c>
      <c r="H233" s="22">
        <v>60</v>
      </c>
      <c r="I233" s="106">
        <v>40</v>
      </c>
      <c r="J233" s="52">
        <f t="shared" ref="J233:J234" si="17">+H233*I233</f>
        <v>2400</v>
      </c>
      <c r="K233" s="159">
        <v>600</v>
      </c>
      <c r="L233" s="97">
        <v>600</v>
      </c>
      <c r="M233" s="97">
        <v>600</v>
      </c>
      <c r="N233" s="97">
        <v>600</v>
      </c>
      <c r="O233" s="35" t="s">
        <v>42</v>
      </c>
      <c r="P233" s="194">
        <v>98</v>
      </c>
      <c r="Q233" s="194">
        <v>2071</v>
      </c>
      <c r="R233" s="35">
        <v>3</v>
      </c>
      <c r="S233" s="35">
        <v>7</v>
      </c>
      <c r="T233" s="35">
        <v>1</v>
      </c>
      <c r="U233" s="35">
        <v>6</v>
      </c>
    </row>
    <row r="234" spans="1:40" s="7" customFormat="1" ht="35.1" customHeight="1" thickBot="1" x14ac:dyDescent="0.3">
      <c r="B234" s="305"/>
      <c r="C234" s="305"/>
      <c r="D234" s="305"/>
      <c r="E234" s="299"/>
      <c r="F234" s="299"/>
      <c r="G234" s="93" t="s">
        <v>189</v>
      </c>
      <c r="H234" s="22">
        <v>40</v>
      </c>
      <c r="I234" s="106">
        <v>125</v>
      </c>
      <c r="J234" s="52">
        <f t="shared" si="17"/>
        <v>5000</v>
      </c>
      <c r="K234" s="159">
        <v>1250</v>
      </c>
      <c r="L234" s="97">
        <v>1250</v>
      </c>
      <c r="M234" s="97">
        <v>1250</v>
      </c>
      <c r="N234" s="97">
        <v>1250</v>
      </c>
      <c r="O234" s="35" t="s">
        <v>42</v>
      </c>
      <c r="P234" s="194">
        <v>98</v>
      </c>
      <c r="Q234" s="194">
        <v>2071</v>
      </c>
      <c r="R234" s="35">
        <v>3</v>
      </c>
      <c r="S234" s="35">
        <v>7</v>
      </c>
      <c r="T234" s="35">
        <v>1</v>
      </c>
      <c r="U234" s="35">
        <v>6</v>
      </c>
    </row>
    <row r="235" spans="1:40" s="7" customFormat="1" ht="35.25" customHeight="1" thickBot="1" x14ac:dyDescent="0.3">
      <c r="B235" s="303" t="s">
        <v>79</v>
      </c>
      <c r="C235" s="303" t="s">
        <v>80</v>
      </c>
      <c r="D235" s="303">
        <v>6</v>
      </c>
      <c r="E235" s="299" t="s">
        <v>190</v>
      </c>
      <c r="F235" s="299"/>
      <c r="G235" s="93" t="s">
        <v>191</v>
      </c>
      <c r="H235" s="22">
        <v>50</v>
      </c>
      <c r="I235" s="106">
        <v>200</v>
      </c>
      <c r="J235" s="52">
        <f>+H235*I235</f>
        <v>10000</v>
      </c>
      <c r="K235" s="159"/>
      <c r="L235" s="97">
        <v>10000</v>
      </c>
      <c r="M235" s="97"/>
      <c r="N235" s="97"/>
      <c r="O235" s="35" t="s">
        <v>42</v>
      </c>
      <c r="P235" s="194">
        <v>98</v>
      </c>
      <c r="Q235" s="194">
        <v>2071</v>
      </c>
      <c r="R235" s="35">
        <v>2</v>
      </c>
      <c r="S235" s="35">
        <v>2</v>
      </c>
      <c r="T235" s="35">
        <v>2</v>
      </c>
      <c r="U235" s="35"/>
    </row>
    <row r="236" spans="1:40" s="7" customFormat="1" ht="33.75" customHeight="1" thickBot="1" x14ac:dyDescent="0.3">
      <c r="B236" s="304"/>
      <c r="C236" s="304"/>
      <c r="D236" s="304"/>
      <c r="E236" s="299"/>
      <c r="F236" s="299"/>
      <c r="G236" s="93" t="s">
        <v>192</v>
      </c>
      <c r="H236" s="22">
        <v>3</v>
      </c>
      <c r="I236" s="106">
        <v>21000</v>
      </c>
      <c r="J236" s="52">
        <f>+H236*I236</f>
        <v>63000</v>
      </c>
      <c r="K236" s="159"/>
      <c r="L236" s="97">
        <v>21000</v>
      </c>
      <c r="M236" s="97">
        <v>21000</v>
      </c>
      <c r="N236" s="97">
        <v>21000</v>
      </c>
      <c r="O236" s="35" t="s">
        <v>42</v>
      </c>
      <c r="P236" s="194">
        <v>98</v>
      </c>
      <c r="Q236" s="194">
        <v>2071</v>
      </c>
      <c r="R236" s="35">
        <v>3</v>
      </c>
      <c r="S236" s="35">
        <v>1</v>
      </c>
      <c r="T236" s="35">
        <v>1</v>
      </c>
      <c r="U236" s="35">
        <v>1</v>
      </c>
    </row>
    <row r="237" spans="1:40" s="200" customFormat="1" ht="85.5" customHeight="1" thickBot="1" x14ac:dyDescent="0.3">
      <c r="A237" s="15"/>
      <c r="B237" s="304"/>
      <c r="C237" s="304"/>
      <c r="D237" s="304"/>
      <c r="E237" s="299"/>
      <c r="F237" s="299"/>
      <c r="G237" s="93" t="s">
        <v>272</v>
      </c>
      <c r="H237" s="22">
        <v>1</v>
      </c>
      <c r="I237" s="106">
        <v>300000</v>
      </c>
      <c r="J237" s="159">
        <f>+H237*I237</f>
        <v>300000</v>
      </c>
      <c r="K237" s="159"/>
      <c r="L237" s="159">
        <v>300000</v>
      </c>
      <c r="M237" s="159"/>
      <c r="N237" s="159"/>
      <c r="O237" s="22" t="s">
        <v>42</v>
      </c>
      <c r="P237" s="192">
        <v>98</v>
      </c>
      <c r="Q237" s="192">
        <v>2071</v>
      </c>
      <c r="R237" s="22">
        <v>2</v>
      </c>
      <c r="S237" s="22">
        <v>8</v>
      </c>
      <c r="T237" s="22">
        <v>7</v>
      </c>
      <c r="U237" s="22">
        <v>4</v>
      </c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</row>
    <row r="238" spans="1:40" s="7" customFormat="1" ht="30.75" thickBot="1" x14ac:dyDescent="0.3">
      <c r="B238" s="304"/>
      <c r="C238" s="304"/>
      <c r="D238" s="304"/>
      <c r="E238" s="299"/>
      <c r="F238" s="299"/>
      <c r="G238" s="93" t="s">
        <v>193</v>
      </c>
      <c r="H238" s="22">
        <v>1</v>
      </c>
      <c r="I238" s="106">
        <v>100000</v>
      </c>
      <c r="J238" s="52">
        <f>+H238*I238</f>
        <v>100000</v>
      </c>
      <c r="K238" s="159">
        <v>20000</v>
      </c>
      <c r="L238" s="97">
        <v>30000</v>
      </c>
      <c r="M238" s="97">
        <v>50000</v>
      </c>
      <c r="N238" s="97"/>
      <c r="O238" s="35" t="s">
        <v>42</v>
      </c>
      <c r="P238" s="194">
        <v>98</v>
      </c>
      <c r="Q238" s="194">
        <v>2071</v>
      </c>
      <c r="R238" s="35">
        <v>2</v>
      </c>
      <c r="S238" s="35">
        <v>8</v>
      </c>
      <c r="T238" s="35">
        <v>7</v>
      </c>
      <c r="U238" s="35">
        <v>6</v>
      </c>
    </row>
    <row r="239" spans="1:40" s="7" customFormat="1" ht="32.25" customHeight="1" thickBot="1" x14ac:dyDescent="0.3">
      <c r="B239" s="304"/>
      <c r="C239" s="304"/>
      <c r="D239" s="304"/>
      <c r="E239" s="299"/>
      <c r="F239" s="299"/>
      <c r="G239" s="93" t="s">
        <v>194</v>
      </c>
      <c r="H239" s="22">
        <v>6</v>
      </c>
      <c r="I239" s="106">
        <v>3000</v>
      </c>
      <c r="J239" s="52">
        <f t="shared" ref="J239:J240" si="18">+H239*I239</f>
        <v>18000</v>
      </c>
      <c r="K239" s="159">
        <v>18000</v>
      </c>
      <c r="L239" s="97"/>
      <c r="M239" s="97"/>
      <c r="N239" s="97"/>
      <c r="O239" s="35" t="s">
        <v>42</v>
      </c>
      <c r="P239" s="194">
        <v>98</v>
      </c>
      <c r="Q239" s="194">
        <v>2071</v>
      </c>
      <c r="R239" s="35">
        <v>2</v>
      </c>
      <c r="S239" s="35">
        <v>2</v>
      </c>
      <c r="T239" s="35">
        <v>2</v>
      </c>
      <c r="U239" s="35"/>
    </row>
    <row r="240" spans="1:40" s="7" customFormat="1" ht="29.25" customHeight="1" thickBot="1" x14ac:dyDescent="0.3">
      <c r="B240" s="304"/>
      <c r="C240" s="304"/>
      <c r="D240" s="304"/>
      <c r="E240" s="299"/>
      <c r="F240" s="299"/>
      <c r="G240" s="93" t="s">
        <v>195</v>
      </c>
      <c r="H240" s="22">
        <v>170</v>
      </c>
      <c r="I240" s="106">
        <v>40461</v>
      </c>
      <c r="J240" s="52">
        <f t="shared" si="18"/>
        <v>6878370</v>
      </c>
      <c r="K240" s="159"/>
      <c r="L240" s="159"/>
      <c r="M240" s="159"/>
      <c r="N240" s="159">
        <v>6878370</v>
      </c>
      <c r="O240" s="35" t="s">
        <v>42</v>
      </c>
      <c r="P240" s="194">
        <v>98</v>
      </c>
      <c r="Q240" s="194">
        <v>2071</v>
      </c>
      <c r="R240" s="35">
        <v>1</v>
      </c>
      <c r="S240" s="35">
        <v>2</v>
      </c>
      <c r="T240" s="35">
        <v>2</v>
      </c>
      <c r="U240" s="35">
        <v>2</v>
      </c>
    </row>
    <row r="241" spans="2:24" s="7" customFormat="1" ht="45" customHeight="1" thickBot="1" x14ac:dyDescent="0.3">
      <c r="B241" s="304"/>
      <c r="C241" s="304"/>
      <c r="D241" s="304"/>
      <c r="E241" s="299"/>
      <c r="F241" s="299"/>
      <c r="G241" s="93" t="s">
        <v>196</v>
      </c>
      <c r="H241" s="22">
        <v>140</v>
      </c>
      <c r="I241" s="106">
        <v>200</v>
      </c>
      <c r="J241" s="52">
        <f>+H241*I241</f>
        <v>28000</v>
      </c>
      <c r="K241" s="159"/>
      <c r="L241" s="97">
        <v>28000</v>
      </c>
      <c r="M241" s="97"/>
      <c r="N241" s="97"/>
      <c r="O241" s="35" t="s">
        <v>42</v>
      </c>
      <c r="P241" s="194">
        <v>98</v>
      </c>
      <c r="Q241" s="194">
        <v>2071</v>
      </c>
      <c r="R241" s="35">
        <v>2</v>
      </c>
      <c r="S241" s="35">
        <v>2</v>
      </c>
      <c r="T241" s="35">
        <v>2</v>
      </c>
      <c r="U241" s="35"/>
    </row>
    <row r="242" spans="2:24" s="7" customFormat="1" ht="27" customHeight="1" thickBot="1" x14ac:dyDescent="0.3">
      <c r="B242" s="305"/>
      <c r="C242" s="305"/>
      <c r="D242" s="305"/>
      <c r="E242" s="299"/>
      <c r="F242" s="299"/>
      <c r="G242" s="93" t="s">
        <v>197</v>
      </c>
      <c r="H242" s="22">
        <v>140</v>
      </c>
      <c r="I242" s="106">
        <v>115</v>
      </c>
      <c r="J242" s="52">
        <f>+H242*I242</f>
        <v>16100</v>
      </c>
      <c r="K242" s="159"/>
      <c r="L242" s="97">
        <v>16100</v>
      </c>
      <c r="M242" s="97"/>
      <c r="N242" s="97"/>
      <c r="O242" s="35" t="s">
        <v>42</v>
      </c>
      <c r="P242" s="194">
        <v>98</v>
      </c>
      <c r="Q242" s="194">
        <v>2071</v>
      </c>
      <c r="R242" s="35">
        <v>2</v>
      </c>
      <c r="S242" s="35">
        <v>2</v>
      </c>
      <c r="T242" s="35">
        <v>2</v>
      </c>
      <c r="U242" s="35"/>
    </row>
    <row r="243" spans="2:24" s="7" customFormat="1" ht="31.5" customHeight="1" thickBot="1" x14ac:dyDescent="0.3">
      <c r="B243" s="303" t="s">
        <v>79</v>
      </c>
      <c r="C243" s="303" t="s">
        <v>80</v>
      </c>
      <c r="D243" s="303">
        <v>6</v>
      </c>
      <c r="E243" s="299" t="s">
        <v>224</v>
      </c>
      <c r="F243" s="299"/>
      <c r="G243" s="93" t="s">
        <v>198</v>
      </c>
      <c r="H243" s="22">
        <v>9000</v>
      </c>
      <c r="I243" s="106">
        <v>25</v>
      </c>
      <c r="J243" s="52">
        <f>+H243*I243</f>
        <v>225000</v>
      </c>
      <c r="K243" s="159"/>
      <c r="L243" s="97">
        <v>75000</v>
      </c>
      <c r="M243" s="97">
        <v>75000</v>
      </c>
      <c r="N243" s="97">
        <v>75000</v>
      </c>
      <c r="O243" s="35" t="s">
        <v>42</v>
      </c>
      <c r="P243" s="194">
        <v>98</v>
      </c>
      <c r="Q243" s="194">
        <v>2071</v>
      </c>
      <c r="R243" s="35">
        <v>2</v>
      </c>
      <c r="S243" s="35">
        <v>2</v>
      </c>
      <c r="T243" s="35">
        <v>2</v>
      </c>
      <c r="U243" s="35"/>
    </row>
    <row r="244" spans="2:24" s="7" customFormat="1" ht="27.75" customHeight="1" thickBot="1" x14ac:dyDescent="0.3">
      <c r="B244" s="304"/>
      <c r="C244" s="304"/>
      <c r="D244" s="304"/>
      <c r="E244" s="299"/>
      <c r="F244" s="299"/>
      <c r="G244" s="93" t="s">
        <v>199</v>
      </c>
      <c r="H244" s="22">
        <v>18000</v>
      </c>
      <c r="I244" s="106">
        <v>10</v>
      </c>
      <c r="J244" s="52">
        <f>+H244*I244</f>
        <v>180000</v>
      </c>
      <c r="K244" s="159"/>
      <c r="L244" s="97">
        <v>70000</v>
      </c>
      <c r="M244" s="97">
        <v>30000</v>
      </c>
      <c r="N244" s="97">
        <v>80000</v>
      </c>
      <c r="O244" s="35" t="s">
        <v>42</v>
      </c>
      <c r="P244" s="194">
        <v>98</v>
      </c>
      <c r="Q244" s="194">
        <v>2071</v>
      </c>
      <c r="R244" s="35">
        <v>2</v>
      </c>
      <c r="S244" s="35">
        <v>2</v>
      </c>
      <c r="T244" s="35">
        <v>2</v>
      </c>
      <c r="U244" s="35"/>
    </row>
    <row r="245" spans="2:24" s="7" customFormat="1" ht="29.25" customHeight="1" thickBot="1" x14ac:dyDescent="0.3">
      <c r="B245" s="304"/>
      <c r="C245" s="304"/>
      <c r="D245" s="304"/>
      <c r="E245" s="299"/>
      <c r="F245" s="299"/>
      <c r="G245" s="93" t="s">
        <v>200</v>
      </c>
      <c r="H245" s="22">
        <v>500</v>
      </c>
      <c r="I245" s="106">
        <v>180</v>
      </c>
      <c r="J245" s="52">
        <f>+H245*I245</f>
        <v>90000</v>
      </c>
      <c r="K245" s="159"/>
      <c r="L245" s="97"/>
      <c r="M245" s="97"/>
      <c r="N245" s="97">
        <v>90000</v>
      </c>
      <c r="O245" s="35" t="s">
        <v>42</v>
      </c>
      <c r="P245" s="194">
        <v>98</v>
      </c>
      <c r="Q245" s="194">
        <v>2071</v>
      </c>
      <c r="R245" s="35">
        <v>2</v>
      </c>
      <c r="S245" s="35">
        <v>2</v>
      </c>
      <c r="T245" s="35">
        <v>2</v>
      </c>
      <c r="U245" s="35"/>
    </row>
    <row r="246" spans="2:24" s="7" customFormat="1" ht="30.75" customHeight="1" thickBot="1" x14ac:dyDescent="0.3">
      <c r="B246" s="304"/>
      <c r="C246" s="304"/>
      <c r="D246" s="304"/>
      <c r="E246" s="299"/>
      <c r="F246" s="299"/>
      <c r="G246" s="93" t="s">
        <v>201</v>
      </c>
      <c r="H246" s="22">
        <v>2000</v>
      </c>
      <c r="I246" s="106">
        <v>35</v>
      </c>
      <c r="J246" s="52">
        <f t="shared" ref="J246" si="19">+H246*I246</f>
        <v>70000</v>
      </c>
      <c r="K246" s="159"/>
      <c r="L246" s="97">
        <v>35000</v>
      </c>
      <c r="M246" s="97"/>
      <c r="N246" s="97">
        <v>35000</v>
      </c>
      <c r="O246" s="35" t="s">
        <v>42</v>
      </c>
      <c r="P246" s="194">
        <v>98</v>
      </c>
      <c r="Q246" s="194">
        <v>2071</v>
      </c>
      <c r="R246" s="35">
        <v>2</v>
      </c>
      <c r="S246" s="35">
        <v>2</v>
      </c>
      <c r="T246" s="35">
        <v>2</v>
      </c>
      <c r="U246" s="35"/>
    </row>
    <row r="247" spans="2:24" s="7" customFormat="1" ht="35.1" customHeight="1" thickBot="1" x14ac:dyDescent="0.3">
      <c r="B247" s="304"/>
      <c r="C247" s="304"/>
      <c r="D247" s="304"/>
      <c r="E247" s="299"/>
      <c r="F247" s="299"/>
      <c r="G247" s="93" t="s">
        <v>202</v>
      </c>
      <c r="H247" s="22">
        <v>8</v>
      </c>
      <c r="I247" s="106">
        <v>110000</v>
      </c>
      <c r="J247" s="52">
        <f>+H247*I247</f>
        <v>880000</v>
      </c>
      <c r="K247" s="159"/>
      <c r="L247" s="97">
        <v>220000</v>
      </c>
      <c r="M247" s="97">
        <v>220000</v>
      </c>
      <c r="N247" s="97">
        <v>440000</v>
      </c>
      <c r="O247" s="35" t="s">
        <v>42</v>
      </c>
      <c r="P247" s="194">
        <v>98</v>
      </c>
      <c r="Q247" s="194">
        <v>2071</v>
      </c>
      <c r="R247" s="35">
        <v>2</v>
      </c>
      <c r="S247" s="35">
        <v>2</v>
      </c>
      <c r="T247" s="35">
        <v>1</v>
      </c>
      <c r="U247" s="35"/>
    </row>
    <row r="248" spans="2:24" s="7" customFormat="1" ht="36.75" customHeight="1" thickBot="1" x14ac:dyDescent="0.3">
      <c r="B248" s="304"/>
      <c r="C248" s="304"/>
      <c r="D248" s="304"/>
      <c r="E248" s="299"/>
      <c r="F248" s="299"/>
      <c r="G248" s="93" t="s">
        <v>203</v>
      </c>
      <c r="H248" s="22">
        <v>1000</v>
      </c>
      <c r="I248" s="106">
        <v>15</v>
      </c>
      <c r="J248" s="159">
        <v>150000</v>
      </c>
      <c r="K248" s="159"/>
      <c r="L248" s="97">
        <v>150000</v>
      </c>
      <c r="M248" s="97"/>
      <c r="N248" s="97"/>
      <c r="O248" s="35" t="s">
        <v>42</v>
      </c>
      <c r="P248" s="194">
        <v>98</v>
      </c>
      <c r="Q248" s="194">
        <v>2071</v>
      </c>
      <c r="R248" s="35">
        <v>2</v>
      </c>
      <c r="S248" s="35">
        <v>2</v>
      </c>
      <c r="T248" s="35">
        <v>2</v>
      </c>
      <c r="U248" s="35"/>
    </row>
    <row r="249" spans="2:24" s="7" customFormat="1" ht="22.5" customHeight="1" thickBot="1" x14ac:dyDescent="0.3">
      <c r="B249" s="304"/>
      <c r="C249" s="304"/>
      <c r="D249" s="304"/>
      <c r="E249" s="299"/>
      <c r="F249" s="299"/>
      <c r="G249" s="93" t="s">
        <v>204</v>
      </c>
      <c r="H249" s="22">
        <v>46</v>
      </c>
      <c r="I249" s="106">
        <v>260</v>
      </c>
      <c r="J249" s="159">
        <f>+H249*I249</f>
        <v>11960</v>
      </c>
      <c r="K249" s="159">
        <v>3986</v>
      </c>
      <c r="L249" s="97">
        <v>3986</v>
      </c>
      <c r="M249" s="97">
        <v>3986</v>
      </c>
      <c r="N249" s="97"/>
      <c r="O249" s="35" t="s">
        <v>42</v>
      </c>
      <c r="P249" s="194">
        <v>98</v>
      </c>
      <c r="Q249" s="194">
        <v>2071</v>
      </c>
      <c r="R249" s="35">
        <v>3</v>
      </c>
      <c r="S249" s="35">
        <v>7</v>
      </c>
      <c r="T249" s="35">
        <v>1</v>
      </c>
      <c r="U249" s="35">
        <v>2</v>
      </c>
      <c r="X249" s="7">
        <f>37195786+53791160</f>
        <v>90986946</v>
      </c>
    </row>
    <row r="250" spans="2:24" s="7" customFormat="1" ht="28.5" customHeight="1" thickBot="1" x14ac:dyDescent="0.3">
      <c r="B250" s="304"/>
      <c r="C250" s="304"/>
      <c r="D250" s="304"/>
      <c r="E250" s="299"/>
      <c r="F250" s="299"/>
      <c r="G250" s="93" t="s">
        <v>38</v>
      </c>
      <c r="H250" s="22">
        <v>6</v>
      </c>
      <c r="I250" s="106">
        <v>15900</v>
      </c>
      <c r="J250" s="159">
        <f t="shared" ref="J250:J261" si="20">+H250*I250</f>
        <v>95400</v>
      </c>
      <c r="K250" s="159">
        <v>5300</v>
      </c>
      <c r="L250" s="97">
        <v>5300</v>
      </c>
      <c r="M250" s="97">
        <v>5300</v>
      </c>
      <c r="N250" s="97"/>
      <c r="O250" s="35" t="s">
        <v>42</v>
      </c>
      <c r="P250" s="194">
        <v>98</v>
      </c>
      <c r="Q250" s="194">
        <v>2071</v>
      </c>
      <c r="R250" s="35">
        <v>2</v>
      </c>
      <c r="S250" s="35">
        <v>3</v>
      </c>
      <c r="T250" s="35">
        <v>1</v>
      </c>
      <c r="U250" s="35"/>
    </row>
    <row r="251" spans="2:24" s="7" customFormat="1" ht="28.5" customHeight="1" thickBot="1" x14ac:dyDescent="0.3">
      <c r="B251" s="304"/>
      <c r="C251" s="304"/>
      <c r="D251" s="304"/>
      <c r="E251" s="299"/>
      <c r="F251" s="299"/>
      <c r="G251" s="93" t="s">
        <v>205</v>
      </c>
      <c r="H251" s="22">
        <v>84</v>
      </c>
      <c r="I251" s="106">
        <v>8</v>
      </c>
      <c r="J251" s="159">
        <f t="shared" si="20"/>
        <v>672</v>
      </c>
      <c r="K251" s="159">
        <v>224</v>
      </c>
      <c r="L251" s="97">
        <v>224</v>
      </c>
      <c r="M251" s="97">
        <v>224</v>
      </c>
      <c r="N251" s="97">
        <v>224</v>
      </c>
      <c r="O251" s="35" t="s">
        <v>42</v>
      </c>
      <c r="P251" s="194">
        <v>98</v>
      </c>
      <c r="Q251" s="194">
        <v>2071</v>
      </c>
      <c r="R251" s="35">
        <v>3</v>
      </c>
      <c r="S251" s="35">
        <v>9</v>
      </c>
      <c r="T251" s="35">
        <v>2</v>
      </c>
      <c r="U251" s="35"/>
    </row>
    <row r="252" spans="2:24" s="7" customFormat="1" ht="23.25" customHeight="1" thickBot="1" x14ac:dyDescent="0.3">
      <c r="B252" s="304"/>
      <c r="C252" s="304"/>
      <c r="D252" s="304"/>
      <c r="E252" s="299"/>
      <c r="F252" s="299"/>
      <c r="G252" s="93" t="s">
        <v>206</v>
      </c>
      <c r="H252" s="22">
        <v>7</v>
      </c>
      <c r="I252" s="106">
        <v>228</v>
      </c>
      <c r="J252" s="159">
        <f t="shared" si="20"/>
        <v>1596</v>
      </c>
      <c r="K252" s="159">
        <v>399</v>
      </c>
      <c r="L252" s="97">
        <v>399</v>
      </c>
      <c r="M252" s="97">
        <v>399</v>
      </c>
      <c r="N252" s="97">
        <v>399</v>
      </c>
      <c r="O252" s="35" t="s">
        <v>42</v>
      </c>
      <c r="P252" s="194">
        <v>98</v>
      </c>
      <c r="Q252" s="194">
        <v>2071</v>
      </c>
      <c r="R252" s="35">
        <v>3</v>
      </c>
      <c r="S252" s="35">
        <v>3</v>
      </c>
      <c r="T252" s="35">
        <v>1</v>
      </c>
      <c r="U252" s="35"/>
    </row>
    <row r="253" spans="2:24" s="7" customFormat="1" ht="36.75" customHeight="1" thickBot="1" x14ac:dyDescent="0.3">
      <c r="B253" s="304"/>
      <c r="C253" s="304"/>
      <c r="D253" s="304"/>
      <c r="E253" s="299"/>
      <c r="F253" s="299"/>
      <c r="G253" s="93" t="s">
        <v>207</v>
      </c>
      <c r="H253" s="22">
        <v>84</v>
      </c>
      <c r="I253" s="106">
        <v>8</v>
      </c>
      <c r="J253" s="159">
        <f t="shared" si="20"/>
        <v>672</v>
      </c>
      <c r="K253" s="159">
        <v>224</v>
      </c>
      <c r="L253" s="97">
        <v>224</v>
      </c>
      <c r="M253" s="97">
        <v>224</v>
      </c>
      <c r="N253" s="97">
        <v>224</v>
      </c>
      <c r="O253" s="35" t="s">
        <v>42</v>
      </c>
      <c r="P253" s="194">
        <v>98</v>
      </c>
      <c r="Q253" s="194">
        <v>2071</v>
      </c>
      <c r="R253" s="35">
        <v>3</v>
      </c>
      <c r="S253" s="35">
        <v>9</v>
      </c>
      <c r="T253" s="35">
        <v>2</v>
      </c>
      <c r="U253" s="35"/>
    </row>
    <row r="254" spans="2:24" s="7" customFormat="1" ht="37.5" customHeight="1" thickBot="1" x14ac:dyDescent="0.3">
      <c r="B254" s="304"/>
      <c r="C254" s="304"/>
      <c r="D254" s="304"/>
      <c r="E254" s="299"/>
      <c r="F254" s="299"/>
      <c r="G254" s="93" t="s">
        <v>208</v>
      </c>
      <c r="H254" s="22">
        <v>1</v>
      </c>
      <c r="I254" s="106">
        <v>100000</v>
      </c>
      <c r="J254" s="159">
        <f t="shared" si="20"/>
        <v>100000</v>
      </c>
      <c r="K254" s="159"/>
      <c r="L254" s="97"/>
      <c r="M254" s="97">
        <v>100000</v>
      </c>
      <c r="N254" s="97"/>
      <c r="O254" s="35" t="s">
        <v>42</v>
      </c>
      <c r="P254" s="194">
        <v>98</v>
      </c>
      <c r="Q254" s="194">
        <v>2071</v>
      </c>
      <c r="R254" s="35">
        <v>2</v>
      </c>
      <c r="S254" s="35">
        <v>8</v>
      </c>
      <c r="T254" s="35">
        <v>7</v>
      </c>
      <c r="U254" s="35">
        <v>5</v>
      </c>
    </row>
    <row r="255" spans="2:24" s="7" customFormat="1" ht="27.75" customHeight="1" thickBot="1" x14ac:dyDescent="0.3">
      <c r="B255" s="304"/>
      <c r="C255" s="304"/>
      <c r="D255" s="304"/>
      <c r="E255" s="299"/>
      <c r="F255" s="299"/>
      <c r="G255" s="93" t="s">
        <v>209</v>
      </c>
      <c r="H255" s="22">
        <v>3000</v>
      </c>
      <c r="I255" s="106">
        <v>26</v>
      </c>
      <c r="J255" s="159">
        <f t="shared" si="20"/>
        <v>78000</v>
      </c>
      <c r="K255" s="159">
        <v>19500</v>
      </c>
      <c r="L255" s="97">
        <v>19500</v>
      </c>
      <c r="M255" s="97">
        <v>19500</v>
      </c>
      <c r="N255" s="97">
        <v>19500</v>
      </c>
      <c r="O255" s="35" t="s">
        <v>42</v>
      </c>
      <c r="P255" s="194">
        <v>98</v>
      </c>
      <c r="Q255" s="194">
        <v>2071</v>
      </c>
      <c r="R255" s="35">
        <v>3</v>
      </c>
      <c r="S255" s="35">
        <v>9</v>
      </c>
      <c r="T255" s="35">
        <v>2</v>
      </c>
      <c r="U255" s="35"/>
    </row>
    <row r="256" spans="2:24" s="7" customFormat="1" ht="33" customHeight="1" thickBot="1" x14ac:dyDescent="0.3">
      <c r="B256" s="304"/>
      <c r="C256" s="304"/>
      <c r="D256" s="304"/>
      <c r="E256" s="299"/>
      <c r="F256" s="299"/>
      <c r="G256" s="93" t="s">
        <v>210</v>
      </c>
      <c r="H256" s="22">
        <v>1</v>
      </c>
      <c r="I256" s="106">
        <v>400000</v>
      </c>
      <c r="J256" s="159">
        <f t="shared" si="20"/>
        <v>400000</v>
      </c>
      <c r="K256" s="159"/>
      <c r="L256" s="97"/>
      <c r="M256" s="97">
        <v>400000</v>
      </c>
      <c r="N256" s="97"/>
      <c r="O256" s="35" t="s">
        <v>42</v>
      </c>
      <c r="P256" s="194">
        <v>98</v>
      </c>
      <c r="Q256" s="194">
        <v>2071</v>
      </c>
      <c r="R256" s="35">
        <v>2</v>
      </c>
      <c r="S256" s="35">
        <v>8</v>
      </c>
      <c r="T256" s="35">
        <v>7</v>
      </c>
      <c r="U256" s="35">
        <v>6</v>
      </c>
    </row>
    <row r="257" spans="1:42" s="7" customFormat="1" ht="29.25" customHeight="1" thickBot="1" x14ac:dyDescent="0.3">
      <c r="B257" s="304"/>
      <c r="C257" s="304"/>
      <c r="D257" s="304"/>
      <c r="E257" s="299"/>
      <c r="F257" s="299"/>
      <c r="G257" s="93" t="s">
        <v>211</v>
      </c>
      <c r="H257" s="22">
        <v>1000</v>
      </c>
      <c r="I257" s="106">
        <v>200</v>
      </c>
      <c r="J257" s="159">
        <f t="shared" si="20"/>
        <v>200000</v>
      </c>
      <c r="K257" s="159"/>
      <c r="L257" s="97"/>
      <c r="M257" s="97"/>
      <c r="N257" s="97">
        <v>200000</v>
      </c>
      <c r="O257" s="35" t="s">
        <v>42</v>
      </c>
      <c r="P257" s="194">
        <v>98</v>
      </c>
      <c r="Q257" s="194">
        <v>2071</v>
      </c>
      <c r="R257" s="35">
        <v>2</v>
      </c>
      <c r="S257" s="35">
        <v>2</v>
      </c>
      <c r="T257" s="35">
        <v>2</v>
      </c>
      <c r="U257" s="35"/>
    </row>
    <row r="258" spans="1:42" s="7" customFormat="1" ht="29.25" customHeight="1" thickBot="1" x14ac:dyDescent="0.3">
      <c r="B258" s="305"/>
      <c r="C258" s="305"/>
      <c r="D258" s="305"/>
      <c r="E258" s="299"/>
      <c r="F258" s="299"/>
      <c r="G258" s="93" t="s">
        <v>212</v>
      </c>
      <c r="H258" s="22">
        <v>2</v>
      </c>
      <c r="I258" s="106">
        <v>17000</v>
      </c>
      <c r="J258" s="159">
        <f t="shared" si="20"/>
        <v>34000</v>
      </c>
      <c r="K258" s="159"/>
      <c r="L258" s="97"/>
      <c r="M258" s="97">
        <v>34000</v>
      </c>
      <c r="N258" s="97"/>
      <c r="O258" s="35" t="s">
        <v>42</v>
      </c>
      <c r="P258" s="194">
        <v>98</v>
      </c>
      <c r="Q258" s="194">
        <v>2071</v>
      </c>
      <c r="R258" s="35">
        <v>6</v>
      </c>
      <c r="S258" s="35">
        <v>1</v>
      </c>
      <c r="T258" s="35">
        <v>1</v>
      </c>
      <c r="U258" s="35"/>
    </row>
    <row r="259" spans="1:42" s="7" customFormat="1" ht="29.25" customHeight="1" thickBot="1" x14ac:dyDescent="0.3">
      <c r="B259" s="303" t="s">
        <v>79</v>
      </c>
      <c r="C259" s="303" t="s">
        <v>80</v>
      </c>
      <c r="D259" s="303">
        <v>6</v>
      </c>
      <c r="E259" s="299" t="s">
        <v>222</v>
      </c>
      <c r="F259" s="299"/>
      <c r="G259" s="93" t="s">
        <v>213</v>
      </c>
      <c r="H259" s="22">
        <v>12</v>
      </c>
      <c r="I259" s="106">
        <v>700000</v>
      </c>
      <c r="J259" s="159">
        <f t="shared" si="20"/>
        <v>8400000</v>
      </c>
      <c r="K259" s="159">
        <v>2100000</v>
      </c>
      <c r="L259" s="159">
        <v>2100000</v>
      </c>
      <c r="M259" s="159">
        <v>2100000</v>
      </c>
      <c r="N259" s="159">
        <v>2100000</v>
      </c>
      <c r="O259" s="35" t="s">
        <v>42</v>
      </c>
      <c r="P259" s="194">
        <v>98</v>
      </c>
      <c r="Q259" s="194">
        <v>2071</v>
      </c>
      <c r="R259" s="35">
        <v>1</v>
      </c>
      <c r="S259" s="35">
        <v>1</v>
      </c>
      <c r="T259" s="35">
        <v>2</v>
      </c>
      <c r="U259" s="35">
        <v>1</v>
      </c>
    </row>
    <row r="260" spans="1:42" s="7" customFormat="1" ht="39" customHeight="1" thickBot="1" x14ac:dyDescent="0.3">
      <c r="B260" s="304"/>
      <c r="C260" s="304"/>
      <c r="D260" s="304"/>
      <c r="E260" s="299"/>
      <c r="F260" s="299"/>
      <c r="G260" s="93" t="s">
        <v>214</v>
      </c>
      <c r="H260" s="22">
        <v>55</v>
      </c>
      <c r="I260" s="106">
        <v>8801</v>
      </c>
      <c r="J260" s="227">
        <f>SUM(K260:N260)</f>
        <v>484055</v>
      </c>
      <c r="K260" s="159">
        <f>+I260*H260/4</f>
        <v>121013.75</v>
      </c>
      <c r="L260" s="159">
        <f>+K260</f>
        <v>121013.75</v>
      </c>
      <c r="M260" s="159">
        <f>+L260</f>
        <v>121013.75</v>
      </c>
      <c r="N260" s="159">
        <f>+M260</f>
        <v>121013.75</v>
      </c>
      <c r="O260" s="22" t="s">
        <v>42</v>
      </c>
      <c r="P260" s="192">
        <v>98</v>
      </c>
      <c r="Q260" s="192">
        <v>2071</v>
      </c>
      <c r="R260" s="22">
        <v>1</v>
      </c>
      <c r="S260" s="22">
        <v>1</v>
      </c>
      <c r="T260" s="22">
        <v>2</v>
      </c>
      <c r="U260" s="35">
        <v>7</v>
      </c>
    </row>
    <row r="261" spans="1:42" s="7" customFormat="1" ht="31.5" customHeight="1" thickBot="1" x14ac:dyDescent="0.3">
      <c r="B261" s="304"/>
      <c r="C261" s="304"/>
      <c r="D261" s="304"/>
      <c r="E261" s="299"/>
      <c r="F261" s="299"/>
      <c r="G261" s="93" t="s">
        <v>215</v>
      </c>
      <c r="H261" s="22">
        <v>10</v>
      </c>
      <c r="I261" s="106">
        <v>5500</v>
      </c>
      <c r="J261" s="159">
        <f t="shared" si="20"/>
        <v>55000</v>
      </c>
      <c r="K261" s="159"/>
      <c r="L261" s="159">
        <v>27500</v>
      </c>
      <c r="M261" s="159">
        <v>13750</v>
      </c>
      <c r="N261" s="159">
        <v>13750</v>
      </c>
      <c r="O261" s="35" t="s">
        <v>42</v>
      </c>
      <c r="P261" s="194">
        <v>98</v>
      </c>
      <c r="Q261" s="194">
        <v>2071</v>
      </c>
      <c r="R261" s="35">
        <v>3</v>
      </c>
      <c r="S261" s="35">
        <v>2</v>
      </c>
      <c r="T261" s="35">
        <v>3</v>
      </c>
      <c r="U261" s="35"/>
    </row>
    <row r="262" spans="1:42" s="200" customFormat="1" ht="46.5" customHeight="1" thickBot="1" x14ac:dyDescent="0.3">
      <c r="A262" s="15"/>
      <c r="B262" s="304"/>
      <c r="C262" s="304"/>
      <c r="D262" s="304"/>
      <c r="E262" s="299"/>
      <c r="F262" s="299"/>
      <c r="G262" s="93" t="s">
        <v>271</v>
      </c>
      <c r="H262" s="22">
        <v>30</v>
      </c>
      <c r="I262" s="106">
        <v>50000</v>
      </c>
      <c r="J262" s="228">
        <f>+H262*I262</f>
        <v>1500000</v>
      </c>
      <c r="K262" s="159">
        <v>375000</v>
      </c>
      <c r="L262" s="159">
        <v>375000</v>
      </c>
      <c r="M262" s="159">
        <v>375000</v>
      </c>
      <c r="N262" s="159">
        <v>375000</v>
      </c>
      <c r="O262" s="22" t="s">
        <v>42</v>
      </c>
      <c r="P262" s="192">
        <v>98</v>
      </c>
      <c r="Q262" s="192">
        <v>2071</v>
      </c>
      <c r="R262" s="22">
        <v>2</v>
      </c>
      <c r="S262" s="22">
        <v>8</v>
      </c>
      <c r="T262" s="22">
        <v>7</v>
      </c>
      <c r="U262" s="22">
        <v>4</v>
      </c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</row>
    <row r="263" spans="1:42" s="7" customFormat="1" ht="29.25" customHeight="1" thickBot="1" x14ac:dyDescent="0.3">
      <c r="B263" s="304"/>
      <c r="C263" s="304"/>
      <c r="D263" s="304"/>
      <c r="E263" s="299"/>
      <c r="F263" s="299"/>
      <c r="G263" s="93" t="s">
        <v>217</v>
      </c>
      <c r="H263" s="22">
        <v>500</v>
      </c>
      <c r="I263" s="106">
        <v>350</v>
      </c>
      <c r="J263" s="212">
        <f>+H263*I263</f>
        <v>175000</v>
      </c>
      <c r="K263" s="159">
        <v>43750</v>
      </c>
      <c r="L263" s="159">
        <v>43750</v>
      </c>
      <c r="M263" s="159">
        <v>43750</v>
      </c>
      <c r="N263" s="159">
        <v>43750</v>
      </c>
      <c r="O263" s="35" t="s">
        <v>42</v>
      </c>
      <c r="P263" s="194">
        <v>98</v>
      </c>
      <c r="Q263" s="194">
        <v>2071</v>
      </c>
      <c r="R263" s="35">
        <v>1</v>
      </c>
      <c r="S263" s="35">
        <v>2</v>
      </c>
      <c r="T263" s="35">
        <v>2</v>
      </c>
      <c r="U263" s="35">
        <v>3</v>
      </c>
    </row>
    <row r="264" spans="1:42" s="7" customFormat="1" ht="28.5" customHeight="1" thickBot="1" x14ac:dyDescent="0.3">
      <c r="B264" s="305"/>
      <c r="C264" s="305"/>
      <c r="D264" s="305"/>
      <c r="E264" s="299"/>
      <c r="F264" s="299"/>
      <c r="G264" s="93" t="s">
        <v>216</v>
      </c>
      <c r="H264" s="22">
        <v>1</v>
      </c>
      <c r="I264" s="106">
        <v>700000</v>
      </c>
      <c r="J264" s="203">
        <f t="shared" ref="J264:J267" si="21">+H264*I264</f>
        <v>700000</v>
      </c>
      <c r="K264" s="159"/>
      <c r="L264" s="159"/>
      <c r="M264" s="159"/>
      <c r="N264" s="159">
        <v>700000</v>
      </c>
      <c r="O264" s="35" t="s">
        <v>42</v>
      </c>
      <c r="P264" s="194">
        <v>98</v>
      </c>
      <c r="Q264" s="194">
        <v>2071</v>
      </c>
      <c r="R264" s="35">
        <v>1</v>
      </c>
      <c r="S264" s="35">
        <v>1</v>
      </c>
      <c r="T264" s="35">
        <v>4</v>
      </c>
      <c r="U264" s="35"/>
    </row>
    <row r="265" spans="1:42" s="7" customFormat="1" ht="33" customHeight="1" thickBot="1" x14ac:dyDescent="0.3">
      <c r="B265" s="303" t="s">
        <v>79</v>
      </c>
      <c r="C265" s="303" t="s">
        <v>80</v>
      </c>
      <c r="D265" s="303">
        <v>6</v>
      </c>
      <c r="E265" s="299" t="s">
        <v>223</v>
      </c>
      <c r="F265" s="299"/>
      <c r="G265" s="93" t="s">
        <v>218</v>
      </c>
      <c r="H265" s="22">
        <v>1</v>
      </c>
      <c r="I265" s="106">
        <v>10000</v>
      </c>
      <c r="J265" s="203">
        <f t="shared" si="21"/>
        <v>10000</v>
      </c>
      <c r="K265" s="159"/>
      <c r="L265" s="159"/>
      <c r="M265" s="159">
        <v>10000</v>
      </c>
      <c r="N265" s="159"/>
      <c r="O265" s="35" t="s">
        <v>42</v>
      </c>
      <c r="P265" s="194">
        <v>98</v>
      </c>
      <c r="Q265" s="194">
        <v>2071</v>
      </c>
      <c r="R265" s="35">
        <v>3</v>
      </c>
      <c r="S265" s="35">
        <v>9</v>
      </c>
      <c r="T265" s="35">
        <v>9</v>
      </c>
      <c r="U265" s="35"/>
    </row>
    <row r="266" spans="1:42" s="7" customFormat="1" ht="36.75" customHeight="1" thickBot="1" x14ac:dyDescent="0.3">
      <c r="B266" s="304"/>
      <c r="C266" s="304"/>
      <c r="D266" s="304"/>
      <c r="E266" s="299"/>
      <c r="F266" s="299"/>
      <c r="G266" s="93" t="s">
        <v>219</v>
      </c>
      <c r="H266" s="22">
        <v>150</v>
      </c>
      <c r="I266" s="106">
        <v>300</v>
      </c>
      <c r="J266" s="203">
        <f t="shared" si="21"/>
        <v>45000</v>
      </c>
      <c r="K266" s="159"/>
      <c r="L266" s="159"/>
      <c r="M266" s="159">
        <v>45000</v>
      </c>
      <c r="N266" s="159"/>
      <c r="O266" s="35" t="s">
        <v>42</v>
      </c>
      <c r="P266" s="194">
        <v>98</v>
      </c>
      <c r="Q266" s="194">
        <v>2071</v>
      </c>
      <c r="R266" s="35">
        <v>3</v>
      </c>
      <c r="S266" s="35">
        <v>1</v>
      </c>
      <c r="T266" s="35">
        <v>1</v>
      </c>
      <c r="U266" s="35">
        <v>1</v>
      </c>
    </row>
    <row r="267" spans="1:42" s="200" customFormat="1" ht="36" customHeight="1" thickBot="1" x14ac:dyDescent="0.3">
      <c r="A267" s="15"/>
      <c r="B267" s="304"/>
      <c r="C267" s="304"/>
      <c r="D267" s="304"/>
      <c r="E267" s="299"/>
      <c r="F267" s="299"/>
      <c r="G267" s="93" t="s">
        <v>270</v>
      </c>
      <c r="H267" s="22">
        <v>150</v>
      </c>
      <c r="I267" s="106">
        <v>300</v>
      </c>
      <c r="J267" s="203">
        <f t="shared" si="21"/>
        <v>45000</v>
      </c>
      <c r="K267" s="159"/>
      <c r="L267" s="159"/>
      <c r="M267" s="159">
        <v>45000</v>
      </c>
      <c r="N267" s="159"/>
      <c r="O267" s="22" t="s">
        <v>42</v>
      </c>
      <c r="P267" s="192">
        <v>98</v>
      </c>
      <c r="Q267" s="192">
        <v>2071</v>
      </c>
      <c r="R267" s="22">
        <v>3</v>
      </c>
      <c r="S267" s="22">
        <v>1</v>
      </c>
      <c r="T267" s="22">
        <v>3</v>
      </c>
      <c r="U267" s="22">
        <v>3</v>
      </c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</row>
    <row r="268" spans="1:42" s="7" customFormat="1" ht="27.75" customHeight="1" thickBot="1" x14ac:dyDescent="0.3">
      <c r="B268" s="305"/>
      <c r="C268" s="305"/>
      <c r="D268" s="305"/>
      <c r="E268" s="299"/>
      <c r="F268" s="299"/>
      <c r="G268" s="93" t="s">
        <v>220</v>
      </c>
      <c r="H268" s="22">
        <v>150</v>
      </c>
      <c r="I268" s="106">
        <f>+J268/H268</f>
        <v>45856.666666666664</v>
      </c>
      <c r="J268" s="160">
        <v>6878500</v>
      </c>
      <c r="K268" s="159"/>
      <c r="L268" s="159"/>
      <c r="M268" s="159">
        <v>6878500</v>
      </c>
      <c r="N268" s="159"/>
      <c r="O268" s="35" t="s">
        <v>42</v>
      </c>
      <c r="P268" s="194">
        <v>98</v>
      </c>
      <c r="Q268" s="194">
        <v>2071</v>
      </c>
      <c r="R268" s="35">
        <v>1</v>
      </c>
      <c r="S268" s="35">
        <v>4</v>
      </c>
      <c r="T268" s="35">
        <v>2</v>
      </c>
      <c r="U268" s="35">
        <v>3</v>
      </c>
    </row>
    <row r="269" spans="1:42" s="7" customFormat="1" ht="39" customHeight="1" thickBot="1" x14ac:dyDescent="0.3">
      <c r="B269" s="35" t="s">
        <v>79</v>
      </c>
      <c r="C269" s="35" t="s">
        <v>80</v>
      </c>
      <c r="D269" s="35">
        <v>6</v>
      </c>
      <c r="E269" s="299" t="s">
        <v>221</v>
      </c>
      <c r="F269" s="299"/>
      <c r="G269" s="93" t="s">
        <v>228</v>
      </c>
      <c r="H269" s="22">
        <v>9</v>
      </c>
      <c r="I269" s="106">
        <v>2050000</v>
      </c>
      <c r="J269" s="160">
        <f>+H269*I269</f>
        <v>18450000</v>
      </c>
      <c r="K269" s="159"/>
      <c r="L269" s="159">
        <v>18450000</v>
      </c>
      <c r="M269" s="159"/>
      <c r="N269" s="159"/>
      <c r="O269" s="35" t="s">
        <v>42</v>
      </c>
      <c r="P269" s="194">
        <v>98</v>
      </c>
      <c r="Q269" s="194">
        <v>2071</v>
      </c>
      <c r="R269" s="35">
        <v>6</v>
      </c>
      <c r="S269" s="35">
        <v>4</v>
      </c>
      <c r="T269" s="35">
        <v>1</v>
      </c>
      <c r="U269" s="35"/>
    </row>
    <row r="270" spans="1:42" s="7" customFormat="1" ht="30.75" thickBot="1" x14ac:dyDescent="0.3">
      <c r="B270" s="35" t="s">
        <v>79</v>
      </c>
      <c r="C270" s="35" t="s">
        <v>80</v>
      </c>
      <c r="D270" s="35">
        <v>6</v>
      </c>
      <c r="E270" s="299" t="s">
        <v>226</v>
      </c>
      <c r="F270" s="299"/>
      <c r="G270" s="93" t="s">
        <v>225</v>
      </c>
      <c r="H270" s="22">
        <v>2</v>
      </c>
      <c r="I270" s="106">
        <f>+J270/H270</f>
        <v>3500000</v>
      </c>
      <c r="J270" s="160">
        <v>7000000</v>
      </c>
      <c r="K270" s="159"/>
      <c r="L270" s="159">
        <v>3000000</v>
      </c>
      <c r="M270" s="159"/>
      <c r="N270" s="159">
        <v>4000000</v>
      </c>
      <c r="O270" s="35" t="s">
        <v>42</v>
      </c>
      <c r="P270" s="194">
        <v>98</v>
      </c>
      <c r="Q270" s="194">
        <v>2071</v>
      </c>
      <c r="R270" s="35">
        <v>2</v>
      </c>
      <c r="S270" s="35">
        <v>7</v>
      </c>
      <c r="T270" s="35">
        <v>1</v>
      </c>
      <c r="U270" s="35">
        <v>1</v>
      </c>
    </row>
    <row r="271" spans="1:42" s="7" customFormat="1" ht="31.5" customHeight="1" thickBot="1" x14ac:dyDescent="0.3">
      <c r="B271" s="303" t="s">
        <v>79</v>
      </c>
      <c r="C271" s="303" t="s">
        <v>80</v>
      </c>
      <c r="D271" s="303">
        <v>6</v>
      </c>
      <c r="E271" s="299" t="s">
        <v>227</v>
      </c>
      <c r="F271" s="299"/>
      <c r="G271" s="93" t="s">
        <v>229</v>
      </c>
      <c r="H271" s="22">
        <v>160</v>
      </c>
      <c r="I271" s="106">
        <v>228</v>
      </c>
      <c r="J271" s="159">
        <f>+H271*I271</f>
        <v>36480</v>
      </c>
      <c r="K271" s="159">
        <v>9120</v>
      </c>
      <c r="L271" s="159">
        <v>9120</v>
      </c>
      <c r="M271" s="159">
        <v>9120</v>
      </c>
      <c r="N271" s="159">
        <v>9120</v>
      </c>
      <c r="O271" s="35" t="s">
        <v>42</v>
      </c>
      <c r="P271" s="194">
        <v>98</v>
      </c>
      <c r="Q271" s="194">
        <v>2071</v>
      </c>
      <c r="R271" s="35">
        <v>3</v>
      </c>
      <c r="S271" s="35">
        <v>3</v>
      </c>
      <c r="T271" s="35">
        <v>1</v>
      </c>
      <c r="U271" s="35"/>
    </row>
    <row r="272" spans="1:42" s="7" customFormat="1" ht="24.75" customHeight="1" thickBot="1" x14ac:dyDescent="0.3">
      <c r="B272" s="304"/>
      <c r="C272" s="304"/>
      <c r="D272" s="304"/>
      <c r="E272" s="299"/>
      <c r="F272" s="299"/>
      <c r="G272" s="93" t="s">
        <v>230</v>
      </c>
      <c r="H272" s="22">
        <v>20</v>
      </c>
      <c r="I272" s="106">
        <v>84</v>
      </c>
      <c r="J272" s="160">
        <f>+H272*I272</f>
        <v>1680</v>
      </c>
      <c r="K272" s="159">
        <v>420</v>
      </c>
      <c r="L272" s="97">
        <v>420</v>
      </c>
      <c r="M272" s="97">
        <v>420</v>
      </c>
      <c r="N272" s="97">
        <v>420</v>
      </c>
      <c r="O272" s="35" t="s">
        <v>42</v>
      </c>
      <c r="P272" s="194">
        <v>98</v>
      </c>
      <c r="Q272" s="194">
        <v>2071</v>
      </c>
      <c r="R272" s="35">
        <v>3</v>
      </c>
      <c r="S272" s="35">
        <v>9</v>
      </c>
      <c r="T272" s="35">
        <v>2</v>
      </c>
      <c r="U272" s="35"/>
    </row>
    <row r="273" spans="2:21" s="7" customFormat="1" ht="28.5" customHeight="1" thickBot="1" x14ac:dyDescent="0.3">
      <c r="B273" s="304"/>
      <c r="C273" s="304"/>
      <c r="D273" s="304"/>
      <c r="E273" s="299"/>
      <c r="F273" s="299"/>
      <c r="G273" s="93" t="s">
        <v>231</v>
      </c>
      <c r="H273" s="22">
        <v>20</v>
      </c>
      <c r="I273" s="106">
        <v>84</v>
      </c>
      <c r="J273" s="160">
        <f>+H273*I273</f>
        <v>1680</v>
      </c>
      <c r="K273" s="159">
        <v>420</v>
      </c>
      <c r="L273" s="97">
        <v>420</v>
      </c>
      <c r="M273" s="97">
        <v>420</v>
      </c>
      <c r="N273" s="97">
        <v>420</v>
      </c>
      <c r="O273" s="35" t="s">
        <v>42</v>
      </c>
      <c r="P273" s="194">
        <v>98</v>
      </c>
      <c r="Q273" s="194">
        <v>2071</v>
      </c>
      <c r="R273" s="35">
        <v>3</v>
      </c>
      <c r="S273" s="35">
        <v>9</v>
      </c>
      <c r="T273" s="35">
        <v>2</v>
      </c>
      <c r="U273" s="35"/>
    </row>
    <row r="274" spans="2:21" s="7" customFormat="1" ht="29.25" customHeight="1" thickBot="1" x14ac:dyDescent="0.3">
      <c r="B274" s="305"/>
      <c r="C274" s="305"/>
      <c r="D274" s="305"/>
      <c r="E274" s="299"/>
      <c r="F274" s="299"/>
      <c r="G274" s="93" t="s">
        <v>38</v>
      </c>
      <c r="H274" s="22">
        <v>10</v>
      </c>
      <c r="I274" s="106">
        <v>7800</v>
      </c>
      <c r="J274" s="160">
        <f>+H274*I274</f>
        <v>78000</v>
      </c>
      <c r="K274" s="159">
        <v>19500</v>
      </c>
      <c r="L274" s="97">
        <v>19500</v>
      </c>
      <c r="M274" s="97">
        <v>19500</v>
      </c>
      <c r="N274" s="97">
        <v>19500</v>
      </c>
      <c r="O274" s="35" t="s">
        <v>42</v>
      </c>
      <c r="P274" s="194">
        <v>98</v>
      </c>
      <c r="Q274" s="194">
        <v>2071</v>
      </c>
      <c r="R274" s="35">
        <v>2</v>
      </c>
      <c r="S274" s="35">
        <v>3</v>
      </c>
      <c r="T274" s="35">
        <v>1</v>
      </c>
      <c r="U274" s="35"/>
    </row>
    <row r="275" spans="2:21" ht="24" customHeight="1" x14ac:dyDescent="0.25">
      <c r="G275" s="24"/>
      <c r="J275" s="25"/>
      <c r="K275" s="16"/>
      <c r="L275" s="5"/>
      <c r="M275" s="5"/>
    </row>
    <row r="276" spans="2:21" ht="52.5" customHeight="1" x14ac:dyDescent="0.25">
      <c r="G276" s="26"/>
      <c r="H276" s="214"/>
      <c r="J276" s="16"/>
      <c r="K276" s="16"/>
      <c r="L276" s="214"/>
      <c r="M276" s="11"/>
      <c r="O276" s="11"/>
    </row>
    <row r="277" spans="2:21" ht="33" customHeight="1" x14ac:dyDescent="0.25">
      <c r="F277" s="11"/>
      <c r="G277" s="27"/>
      <c r="J277" s="11"/>
      <c r="K277" s="386"/>
      <c r="L277" s="387" t="s">
        <v>297</v>
      </c>
      <c r="M277" s="388">
        <f>253059934+322000+2987419.9+32154860+14004560+220318136+595500000+26382226.9+292845800+12056696+90986946</f>
        <v>1540618578.8000002</v>
      </c>
    </row>
    <row r="278" spans="2:21" ht="48.75" customHeight="1" x14ac:dyDescent="0.25">
      <c r="G278" s="11"/>
      <c r="H278" s="11"/>
      <c r="J278" s="229"/>
      <c r="K278" s="11"/>
      <c r="L278" s="11"/>
      <c r="M278" s="11"/>
      <c r="O278" s="11"/>
    </row>
    <row r="279" spans="2:21" ht="45.75" customHeight="1" x14ac:dyDescent="0.25">
      <c r="G279" s="16"/>
      <c r="J279" s="11"/>
      <c r="L279" s="11"/>
      <c r="M279" s="11"/>
    </row>
    <row r="280" spans="2:21" ht="15.75" x14ac:dyDescent="0.25">
      <c r="E280" s="23"/>
      <c r="F280" s="23"/>
      <c r="G280" s="28"/>
      <c r="H280" s="29"/>
      <c r="J280" s="11"/>
    </row>
    <row r="281" spans="2:21" x14ac:dyDescent="0.25">
      <c r="G281" s="11"/>
    </row>
    <row r="282" spans="2:21" x14ac:dyDescent="0.25">
      <c r="G282" s="30"/>
    </row>
  </sheetData>
  <mergeCells count="365">
    <mergeCell ref="O100:O101"/>
    <mergeCell ref="E100:F101"/>
    <mergeCell ref="G100:J100"/>
    <mergeCell ref="P100:U100"/>
    <mergeCell ref="E102:F102"/>
    <mergeCell ref="B99:F99"/>
    <mergeCell ref="B100:D100"/>
    <mergeCell ref="K100:N100"/>
    <mergeCell ref="D271:D274"/>
    <mergeCell ref="C271:C274"/>
    <mergeCell ref="B271:B274"/>
    <mergeCell ref="D265:D268"/>
    <mergeCell ref="C265:C268"/>
    <mergeCell ref="B265:B268"/>
    <mergeCell ref="P106:U107"/>
    <mergeCell ref="P108:U108"/>
    <mergeCell ref="B111:D111"/>
    <mergeCell ref="E111:F112"/>
    <mergeCell ref="G111:J111"/>
    <mergeCell ref="K111:N111"/>
    <mergeCell ref="O111:O112"/>
    <mergeCell ref="P121:U121"/>
    <mergeCell ref="B131:D131"/>
    <mergeCell ref="E131:E132"/>
    <mergeCell ref="F131:F132"/>
    <mergeCell ref="G131:G132"/>
    <mergeCell ref="H131:H132"/>
    <mergeCell ref="I131:I132"/>
    <mergeCell ref="B3:U3"/>
    <mergeCell ref="B2:U2"/>
    <mergeCell ref="D243:D258"/>
    <mergeCell ref="C243:C258"/>
    <mergeCell ref="B243:B258"/>
    <mergeCell ref="D259:D264"/>
    <mergeCell ref="C259:C264"/>
    <mergeCell ref="B259:B264"/>
    <mergeCell ref="D220:D227"/>
    <mergeCell ref="C220:C227"/>
    <mergeCell ref="B220:B227"/>
    <mergeCell ref="D229:D234"/>
    <mergeCell ref="C229:C234"/>
    <mergeCell ref="B229:B234"/>
    <mergeCell ref="D235:D242"/>
    <mergeCell ref="C235:C242"/>
    <mergeCell ref="B235:B242"/>
    <mergeCell ref="P13:U13"/>
    <mergeCell ref="B16:D16"/>
    <mergeCell ref="D199:D207"/>
    <mergeCell ref="C199:C207"/>
    <mergeCell ref="B199:B207"/>
    <mergeCell ref="D209:D212"/>
    <mergeCell ref="C209:C212"/>
    <mergeCell ref="B209:B212"/>
    <mergeCell ref="D213:D219"/>
    <mergeCell ref="C213:C219"/>
    <mergeCell ref="B213:B219"/>
    <mergeCell ref="B15:F15"/>
    <mergeCell ref="P27:U27"/>
    <mergeCell ref="E18:F19"/>
    <mergeCell ref="E20:F20"/>
    <mergeCell ref="E21:F21"/>
    <mergeCell ref="B25:D25"/>
    <mergeCell ref="E25:E26"/>
    <mergeCell ref="F25:F26"/>
    <mergeCell ref="G25:G26"/>
    <mergeCell ref="H25:H26"/>
    <mergeCell ref="D18:D19"/>
    <mergeCell ref="C18:C19"/>
    <mergeCell ref="B18:B19"/>
    <mergeCell ref="B5:U5"/>
    <mergeCell ref="B6:J6"/>
    <mergeCell ref="B7:J7"/>
    <mergeCell ref="B11:D11"/>
    <mergeCell ref="E11:E12"/>
    <mergeCell ref="F11:F12"/>
    <mergeCell ref="G11:G12"/>
    <mergeCell ref="H11:H12"/>
    <mergeCell ref="I11:I12"/>
    <mergeCell ref="J11:J12"/>
    <mergeCell ref="K11:N11"/>
    <mergeCell ref="O11:O12"/>
    <mergeCell ref="P11:U12"/>
    <mergeCell ref="B8:U8"/>
    <mergeCell ref="B10:F10"/>
    <mergeCell ref="E16:F17"/>
    <mergeCell ref="G16:J16"/>
    <mergeCell ref="K16:N16"/>
    <mergeCell ref="O16:O17"/>
    <mergeCell ref="P16:U16"/>
    <mergeCell ref="I25:I26"/>
    <mergeCell ref="J25:J26"/>
    <mergeCell ref="K25:N25"/>
    <mergeCell ref="O25:O26"/>
    <mergeCell ref="P25:U26"/>
    <mergeCell ref="G30:J30"/>
    <mergeCell ref="K30:N30"/>
    <mergeCell ref="O30:O31"/>
    <mergeCell ref="P30:U30"/>
    <mergeCell ref="K39:N39"/>
    <mergeCell ref="O39:O40"/>
    <mergeCell ref="P39:U40"/>
    <mergeCell ref="E32:F34"/>
    <mergeCell ref="B24:F24"/>
    <mergeCell ref="D32:D34"/>
    <mergeCell ref="C32:C34"/>
    <mergeCell ref="B32:B34"/>
    <mergeCell ref="B30:D30"/>
    <mergeCell ref="E30:F31"/>
    <mergeCell ref="P41:U41"/>
    <mergeCell ref="B44:D44"/>
    <mergeCell ref="E44:F45"/>
    <mergeCell ref="G44:J44"/>
    <mergeCell ref="K44:N44"/>
    <mergeCell ref="O44:O45"/>
    <mergeCell ref="P63:U64"/>
    <mergeCell ref="P65:U65"/>
    <mergeCell ref="G39:G40"/>
    <mergeCell ref="H39:H40"/>
    <mergeCell ref="I39:I40"/>
    <mergeCell ref="J39:J40"/>
    <mergeCell ref="P44:U44"/>
    <mergeCell ref="B62:F62"/>
    <mergeCell ref="E52:F55"/>
    <mergeCell ref="E56:F56"/>
    <mergeCell ref="E57:F59"/>
    <mergeCell ref="D52:D55"/>
    <mergeCell ref="C52:C55"/>
    <mergeCell ref="B52:B55"/>
    <mergeCell ref="D57:D59"/>
    <mergeCell ref="C57:C59"/>
    <mergeCell ref="B57:B59"/>
    <mergeCell ref="G68:J68"/>
    <mergeCell ref="K68:N68"/>
    <mergeCell ref="O68:O69"/>
    <mergeCell ref="P68:U68"/>
    <mergeCell ref="B67:F67"/>
    <mergeCell ref="B63:D63"/>
    <mergeCell ref="E63:E64"/>
    <mergeCell ref="F63:F64"/>
    <mergeCell ref="G63:G64"/>
    <mergeCell ref="H63:H64"/>
    <mergeCell ref="I63:I64"/>
    <mergeCell ref="J63:J64"/>
    <mergeCell ref="K63:N63"/>
    <mergeCell ref="O63:O64"/>
    <mergeCell ref="B68:D68"/>
    <mergeCell ref="E68:F69"/>
    <mergeCell ref="O82:O83"/>
    <mergeCell ref="P82:U83"/>
    <mergeCell ref="P84:U84"/>
    <mergeCell ref="B87:D87"/>
    <mergeCell ref="E87:F88"/>
    <mergeCell ref="G87:J87"/>
    <mergeCell ref="K87:N87"/>
    <mergeCell ref="O87:O88"/>
    <mergeCell ref="B86:F86"/>
    <mergeCell ref="B82:D82"/>
    <mergeCell ref="E82:E83"/>
    <mergeCell ref="F82:F83"/>
    <mergeCell ref="G82:G83"/>
    <mergeCell ref="H82:H83"/>
    <mergeCell ref="I82:I83"/>
    <mergeCell ref="J82:J83"/>
    <mergeCell ref="K82:N82"/>
    <mergeCell ref="P87:U87"/>
    <mergeCell ref="E89:F90"/>
    <mergeCell ref="B94:D94"/>
    <mergeCell ref="E94:E95"/>
    <mergeCell ref="F94:F95"/>
    <mergeCell ref="G94:G95"/>
    <mergeCell ref="H94:H95"/>
    <mergeCell ref="D89:D90"/>
    <mergeCell ref="C89:C90"/>
    <mergeCell ref="B89:B90"/>
    <mergeCell ref="B93:F93"/>
    <mergeCell ref="P119:U120"/>
    <mergeCell ref="G119:G120"/>
    <mergeCell ref="H119:H120"/>
    <mergeCell ref="I119:I120"/>
    <mergeCell ref="J119:J120"/>
    <mergeCell ref="K119:N119"/>
    <mergeCell ref="O119:O120"/>
    <mergeCell ref="I94:I95"/>
    <mergeCell ref="J94:J95"/>
    <mergeCell ref="K94:N94"/>
    <mergeCell ref="O94:O95"/>
    <mergeCell ref="P94:U95"/>
    <mergeCell ref="P96:U96"/>
    <mergeCell ref="P111:U111"/>
    <mergeCell ref="B124:F124"/>
    <mergeCell ref="B125:D125"/>
    <mergeCell ref="E125:F126"/>
    <mergeCell ref="G125:J125"/>
    <mergeCell ref="K125:N125"/>
    <mergeCell ref="O125:O126"/>
    <mergeCell ref="G106:G107"/>
    <mergeCell ref="H106:H107"/>
    <mergeCell ref="I106:I107"/>
    <mergeCell ref="J106:J107"/>
    <mergeCell ref="K106:N106"/>
    <mergeCell ref="O106:O107"/>
    <mergeCell ref="B110:F110"/>
    <mergeCell ref="B143:F143"/>
    <mergeCell ref="P125:U125"/>
    <mergeCell ref="E127:F127"/>
    <mergeCell ref="E138:F138"/>
    <mergeCell ref="E139:F139"/>
    <mergeCell ref="E140:F140"/>
    <mergeCell ref="B144:D144"/>
    <mergeCell ref="E144:E145"/>
    <mergeCell ref="F144:F145"/>
    <mergeCell ref="G144:G145"/>
    <mergeCell ref="O131:O132"/>
    <mergeCell ref="J131:J132"/>
    <mergeCell ref="K131:N131"/>
    <mergeCell ref="B130:F130"/>
    <mergeCell ref="P131:U132"/>
    <mergeCell ref="P133:U133"/>
    <mergeCell ref="B136:D136"/>
    <mergeCell ref="E136:F137"/>
    <mergeCell ref="G136:J136"/>
    <mergeCell ref="K136:N136"/>
    <mergeCell ref="O136:O137"/>
    <mergeCell ref="P136:U136"/>
    <mergeCell ref="B135:F135"/>
    <mergeCell ref="E149:F150"/>
    <mergeCell ref="G149:J149"/>
    <mergeCell ref="K149:N149"/>
    <mergeCell ref="O149:O150"/>
    <mergeCell ref="P149:U149"/>
    <mergeCell ref="H144:H145"/>
    <mergeCell ref="I144:I145"/>
    <mergeCell ref="J144:J145"/>
    <mergeCell ref="K144:N144"/>
    <mergeCell ref="O144:O145"/>
    <mergeCell ref="P144:U145"/>
    <mergeCell ref="B148:F148"/>
    <mergeCell ref="B149:D149"/>
    <mergeCell ref="P146:U146"/>
    <mergeCell ref="H156:H157"/>
    <mergeCell ref="I156:I157"/>
    <mergeCell ref="J156:J157"/>
    <mergeCell ref="K156:N156"/>
    <mergeCell ref="O156:O157"/>
    <mergeCell ref="P156:U157"/>
    <mergeCell ref="E151:F153"/>
    <mergeCell ref="B156:D156"/>
    <mergeCell ref="E156:E157"/>
    <mergeCell ref="F156:F157"/>
    <mergeCell ref="G156:G157"/>
    <mergeCell ref="B155:F155"/>
    <mergeCell ref="D151:D153"/>
    <mergeCell ref="C151:C153"/>
    <mergeCell ref="B151:B153"/>
    <mergeCell ref="E163:F163"/>
    <mergeCell ref="E164:F164"/>
    <mergeCell ref="E165:F165"/>
    <mergeCell ref="E166:F166"/>
    <mergeCell ref="E167:F167"/>
    <mergeCell ref="E168:F168"/>
    <mergeCell ref="P158:U158"/>
    <mergeCell ref="B161:D161"/>
    <mergeCell ref="E161:F162"/>
    <mergeCell ref="G161:J161"/>
    <mergeCell ref="K161:N161"/>
    <mergeCell ref="O161:O162"/>
    <mergeCell ref="P161:U161"/>
    <mergeCell ref="B160:F160"/>
    <mergeCell ref="H173:H174"/>
    <mergeCell ref="I173:I174"/>
    <mergeCell ref="J173:J174"/>
    <mergeCell ref="K173:N173"/>
    <mergeCell ref="O173:O174"/>
    <mergeCell ref="P173:U174"/>
    <mergeCell ref="E169:F169"/>
    <mergeCell ref="B173:D173"/>
    <mergeCell ref="E173:E174"/>
    <mergeCell ref="F173:F174"/>
    <mergeCell ref="G173:G174"/>
    <mergeCell ref="B172:F172"/>
    <mergeCell ref="P175:U175"/>
    <mergeCell ref="B178:D178"/>
    <mergeCell ref="E178:F179"/>
    <mergeCell ref="G178:J178"/>
    <mergeCell ref="K178:N178"/>
    <mergeCell ref="O178:O179"/>
    <mergeCell ref="P178:U178"/>
    <mergeCell ref="B177:F177"/>
    <mergeCell ref="D180:D183"/>
    <mergeCell ref="C180:C183"/>
    <mergeCell ref="B180:B183"/>
    <mergeCell ref="E180:F183"/>
    <mergeCell ref="P194:U194"/>
    <mergeCell ref="B197:D197"/>
    <mergeCell ref="E197:F198"/>
    <mergeCell ref="G197:J197"/>
    <mergeCell ref="K197:N197"/>
    <mergeCell ref="O197:O198"/>
    <mergeCell ref="P197:U197"/>
    <mergeCell ref="H192:H193"/>
    <mergeCell ref="I192:I193"/>
    <mergeCell ref="J192:J193"/>
    <mergeCell ref="K192:N192"/>
    <mergeCell ref="O192:O193"/>
    <mergeCell ref="P192:U193"/>
    <mergeCell ref="B196:F196"/>
    <mergeCell ref="B192:D192"/>
    <mergeCell ref="E192:E193"/>
    <mergeCell ref="F192:F193"/>
    <mergeCell ref="G192:G193"/>
    <mergeCell ref="E270:F270"/>
    <mergeCell ref="E271:F274"/>
    <mergeCell ref="E229:F234"/>
    <mergeCell ref="E235:F242"/>
    <mergeCell ref="E243:F258"/>
    <mergeCell ref="E259:F264"/>
    <mergeCell ref="E265:F268"/>
    <mergeCell ref="E269:F269"/>
    <mergeCell ref="E199:F207"/>
    <mergeCell ref="E209:F212"/>
    <mergeCell ref="E213:F219"/>
    <mergeCell ref="E220:F227"/>
    <mergeCell ref="E228:F228"/>
    <mergeCell ref="E208:F208"/>
    <mergeCell ref="E184:F189"/>
    <mergeCell ref="D184:D189"/>
    <mergeCell ref="C184:C189"/>
    <mergeCell ref="B184:B189"/>
    <mergeCell ref="B191:F191"/>
    <mergeCell ref="B29:F29"/>
    <mergeCell ref="B38:F38"/>
    <mergeCell ref="B43:F43"/>
    <mergeCell ref="D46:D48"/>
    <mergeCell ref="C46:C48"/>
    <mergeCell ref="B46:B48"/>
    <mergeCell ref="B49:B51"/>
    <mergeCell ref="C49:C51"/>
    <mergeCell ref="D49:D51"/>
    <mergeCell ref="E46:F48"/>
    <mergeCell ref="E49:F51"/>
    <mergeCell ref="B39:D39"/>
    <mergeCell ref="E39:E40"/>
    <mergeCell ref="F39:F40"/>
    <mergeCell ref="E119:E120"/>
    <mergeCell ref="F119:F120"/>
    <mergeCell ref="B118:F118"/>
    <mergeCell ref="B81:F81"/>
    <mergeCell ref="B72:B73"/>
    <mergeCell ref="E113:F113"/>
    <mergeCell ref="E114:F114"/>
    <mergeCell ref="E115:F115"/>
    <mergeCell ref="B105:F105"/>
    <mergeCell ref="B106:D106"/>
    <mergeCell ref="B119:D119"/>
    <mergeCell ref="E70:F70"/>
    <mergeCell ref="E71:F71"/>
    <mergeCell ref="D74:D78"/>
    <mergeCell ref="C74:C78"/>
    <mergeCell ref="B74:B78"/>
    <mergeCell ref="E72:F73"/>
    <mergeCell ref="E74:F78"/>
    <mergeCell ref="D72:D73"/>
    <mergeCell ref="C72:C73"/>
    <mergeCell ref="E106:E107"/>
    <mergeCell ref="F106:F107"/>
  </mergeCells>
  <pageMargins left="0.39370078740157483" right="0.19685039370078741" top="0.47244094488188981" bottom="0.59055118110236227" header="0.31496062992125984" footer="0.31496062992125984"/>
  <pageSetup scale="49" orientation="landscape" r:id="rId1"/>
  <headerFooter>
    <oddFooter>&amp;C&amp;P</oddFooter>
  </headerFooter>
  <rowBreaks count="8" manualBreakCount="8">
    <brk id="28" max="16383" man="1"/>
    <brk id="61" max="16383" man="1"/>
    <brk id="80" max="16383" man="1"/>
    <brk id="85" max="16383" man="1"/>
    <brk id="110" max="16383" man="1"/>
    <brk id="134" max="16383" man="1"/>
    <brk id="154" max="41" man="1"/>
    <brk id="169" max="16383" man="1"/>
  </rowBreaks>
  <colBreaks count="2" manualBreakCount="2">
    <brk id="21" max="1048575" man="1"/>
    <brk id="25" max="1048575" man="1"/>
  </colBreaks>
  <ignoredErrors>
    <ignoredError sqref="K5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9"/>
  <sheetViews>
    <sheetView workbookViewId="0">
      <selection activeCell="F13" sqref="F13"/>
    </sheetView>
  </sheetViews>
  <sheetFormatPr baseColWidth="10" defaultRowHeight="15" x14ac:dyDescent="0.25"/>
  <cols>
    <col min="1" max="1" width="3.5703125" customWidth="1"/>
    <col min="2" max="2" width="48.42578125" customWidth="1"/>
    <col min="3" max="3" width="15.28515625" customWidth="1"/>
    <col min="4" max="4" width="9.140625" customWidth="1"/>
    <col min="6" max="7" width="18.28515625" bestFit="1" customWidth="1"/>
    <col min="9" max="9" width="15.28515625" bestFit="1" customWidth="1"/>
  </cols>
  <sheetData>
    <row r="3" spans="1:7" x14ac:dyDescent="0.25">
      <c r="A3" s="372" t="s">
        <v>278</v>
      </c>
      <c r="B3" s="372"/>
      <c r="C3" s="372"/>
      <c r="D3" s="372"/>
    </row>
    <row r="4" spans="1:7" x14ac:dyDescent="0.25">
      <c r="A4" s="372" t="s">
        <v>279</v>
      </c>
      <c r="B4" s="372"/>
      <c r="C4" s="372"/>
      <c r="D4" s="372"/>
    </row>
    <row r="5" spans="1:7" x14ac:dyDescent="0.25">
      <c r="A5" s="372" t="s">
        <v>80</v>
      </c>
      <c r="B5" s="372"/>
      <c r="C5" s="372"/>
      <c r="D5" s="372"/>
    </row>
    <row r="6" spans="1:7" x14ac:dyDescent="0.25">
      <c r="A6" s="372" t="s">
        <v>280</v>
      </c>
      <c r="B6" s="372"/>
      <c r="C6" s="372"/>
      <c r="D6" s="372"/>
    </row>
    <row r="7" spans="1:7" x14ac:dyDescent="0.25">
      <c r="A7" s="372" t="s">
        <v>281</v>
      </c>
      <c r="B7" s="372"/>
      <c r="C7" s="372"/>
      <c r="D7" s="372"/>
    </row>
    <row r="8" spans="1:7" x14ac:dyDescent="0.25">
      <c r="A8" s="372" t="s">
        <v>282</v>
      </c>
      <c r="B8" s="372"/>
      <c r="C8" s="372"/>
      <c r="D8" s="372"/>
    </row>
    <row r="9" spans="1:7" ht="15.75" thickBot="1" x14ac:dyDescent="0.3"/>
    <row r="10" spans="1:7" ht="33.75" customHeight="1" thickBot="1" x14ac:dyDescent="0.3">
      <c r="A10" s="255"/>
      <c r="B10" s="256" t="s">
        <v>283</v>
      </c>
      <c r="C10" s="257" t="s">
        <v>284</v>
      </c>
      <c r="D10" s="258" t="s">
        <v>285</v>
      </c>
      <c r="F10" s="259"/>
    </row>
    <row r="11" spans="1:7" ht="21.75" customHeight="1" x14ac:dyDescent="0.25">
      <c r="A11" s="260"/>
      <c r="B11" s="261" t="s">
        <v>286</v>
      </c>
      <c r="C11" s="262">
        <v>914728026.89999998</v>
      </c>
      <c r="D11" s="263">
        <f>+C11/C16</f>
        <v>0.5937407477018023</v>
      </c>
      <c r="F11" s="249">
        <f>+C11+C12+C13+C14</f>
        <v>1449631632.8</v>
      </c>
      <c r="G11" s="11" t="s">
        <v>287</v>
      </c>
    </row>
    <row r="12" spans="1:7" ht="15" customHeight="1" x14ac:dyDescent="0.25">
      <c r="A12" s="260"/>
      <c r="B12" s="261" t="s">
        <v>288</v>
      </c>
      <c r="C12" s="262">
        <v>302528773.89999998</v>
      </c>
      <c r="D12" s="263">
        <f>+C12/C16</f>
        <v>0.19636837959960346</v>
      </c>
      <c r="F12" s="264">
        <f>+C15</f>
        <v>90986946</v>
      </c>
      <c r="G12" t="s">
        <v>289</v>
      </c>
    </row>
    <row r="13" spans="1:7" ht="15.75" customHeight="1" x14ac:dyDescent="0.25">
      <c r="A13" s="260"/>
      <c r="B13" s="261" t="s">
        <v>290</v>
      </c>
      <c r="C13" s="265">
        <v>220318136</v>
      </c>
      <c r="D13" s="263">
        <f>+C13/C16</f>
        <v>0.14300628269172733</v>
      </c>
      <c r="F13" s="266">
        <f>+F12+F11</f>
        <v>1540618578.8</v>
      </c>
    </row>
    <row r="14" spans="1:7" ht="15" customHeight="1" x14ac:dyDescent="0.25">
      <c r="A14" s="260"/>
      <c r="B14" s="261" t="s">
        <v>291</v>
      </c>
      <c r="C14" s="265">
        <v>12056696</v>
      </c>
      <c r="D14" s="263">
        <f>+C14/C16</f>
        <v>7.8258799198637832E-3</v>
      </c>
      <c r="F14" s="266"/>
    </row>
    <row r="15" spans="1:7" ht="18.75" customHeight="1" x14ac:dyDescent="0.25">
      <c r="A15" s="260"/>
      <c r="B15" s="261" t="s">
        <v>292</v>
      </c>
      <c r="C15" s="262">
        <v>90986946</v>
      </c>
      <c r="D15" s="263">
        <f>+C15/C16</f>
        <v>5.9058710087003141E-2</v>
      </c>
      <c r="F15" s="11"/>
      <c r="G15" s="11"/>
    </row>
    <row r="16" spans="1:7" ht="15.75" thickBot="1" x14ac:dyDescent="0.3">
      <c r="A16" s="267"/>
      <c r="B16" s="268" t="s">
        <v>293</v>
      </c>
      <c r="C16" s="269">
        <f>SUM(C11:C15)</f>
        <v>1540618578.8</v>
      </c>
      <c r="D16" s="270">
        <f>SUM(D11:D15)</f>
        <v>1</v>
      </c>
      <c r="F16" s="249"/>
      <c r="G16" s="11"/>
    </row>
    <row r="18" spans="1:4" x14ac:dyDescent="0.25">
      <c r="A18" s="271"/>
      <c r="C18" s="11"/>
    </row>
    <row r="19" spans="1:4" x14ac:dyDescent="0.25">
      <c r="A19" s="371"/>
      <c r="B19" s="371"/>
      <c r="C19" s="371"/>
      <c r="D19" s="371"/>
    </row>
  </sheetData>
  <mergeCells count="7">
    <mergeCell ref="A19:D19"/>
    <mergeCell ref="A3:D3"/>
    <mergeCell ref="A4:D4"/>
    <mergeCell ref="A5:D5"/>
    <mergeCell ref="A6:D6"/>
    <mergeCell ref="A7:D7"/>
    <mergeCell ref="A8:D8"/>
  </mergeCells>
  <pageMargins left="1.3779527559055118" right="0.43307086614173229" top="0.19685039370078741" bottom="0.74803149606299213" header="0.15748031496062992" footer="0.31496062992125984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96"/>
  <sheetViews>
    <sheetView topLeftCell="G202" zoomScale="75" zoomScaleNormal="75" workbookViewId="0">
      <selection activeCell="M209" sqref="M209"/>
    </sheetView>
  </sheetViews>
  <sheetFormatPr baseColWidth="10" defaultRowHeight="15" x14ac:dyDescent="0.25"/>
  <cols>
    <col min="1" max="1" width="2.85546875" customWidth="1"/>
    <col min="2" max="2" width="4.42578125" customWidth="1"/>
    <col min="3" max="3" width="12.42578125" customWidth="1"/>
    <col min="4" max="4" width="4.7109375" customWidth="1"/>
    <col min="5" max="5" width="18.85546875" customWidth="1"/>
    <col min="6" max="6" width="22" customWidth="1"/>
    <col min="7" max="7" width="25" customWidth="1"/>
    <col min="8" max="8" width="16.140625" customWidth="1"/>
    <col min="9" max="9" width="17" customWidth="1"/>
    <col min="10" max="11" width="17.5703125" customWidth="1"/>
    <col min="12" max="12" width="15.42578125" customWidth="1"/>
    <col min="13" max="13" width="20.140625" customWidth="1"/>
    <col min="14" max="14" width="17.28515625" customWidth="1"/>
    <col min="15" max="15" width="18.7109375" customWidth="1"/>
    <col min="16" max="16" width="4.28515625" customWidth="1"/>
    <col min="17" max="17" width="7.5703125" customWidth="1"/>
    <col min="18" max="18" width="4.85546875" customWidth="1"/>
    <col min="19" max="19" width="4.5703125" customWidth="1"/>
    <col min="20" max="20" width="4.28515625" customWidth="1"/>
    <col min="21" max="21" width="4.140625" customWidth="1"/>
    <col min="23" max="23" width="12.28515625" bestFit="1" customWidth="1"/>
    <col min="24" max="24" width="11.5703125" bestFit="1" customWidth="1"/>
    <col min="25" max="25" width="21.140625" customWidth="1"/>
    <col min="26" max="26" width="13.7109375" bestFit="1" customWidth="1"/>
  </cols>
  <sheetData>
    <row r="1" spans="1:22" ht="14.25" customHeight="1" x14ac:dyDescent="0.25">
      <c r="A1" s="1"/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</row>
    <row r="2" spans="1:22" s="6" customFormat="1" ht="21.75" customHeight="1" x14ac:dyDescent="0.3">
      <c r="B2" s="359" t="s">
        <v>245</v>
      </c>
      <c r="C2" s="359"/>
      <c r="D2" s="359"/>
      <c r="E2" s="359"/>
      <c r="F2" s="359"/>
      <c r="G2" s="359"/>
      <c r="H2" s="359"/>
      <c r="I2" s="359"/>
      <c r="J2" s="359"/>
      <c r="K2" s="36"/>
      <c r="L2" s="36"/>
      <c r="M2" s="37"/>
      <c r="N2" s="36"/>
      <c r="O2" s="36"/>
    </row>
    <row r="3" spans="1:22" s="6" customFormat="1" ht="21.75" customHeight="1" x14ac:dyDescent="0.3">
      <c r="B3" s="246"/>
      <c r="C3" s="246"/>
      <c r="D3" s="246"/>
      <c r="E3" s="246"/>
      <c r="F3" s="246"/>
      <c r="G3" s="246"/>
      <c r="H3" s="246"/>
      <c r="I3" s="246"/>
      <c r="J3" s="246"/>
      <c r="K3" s="36"/>
      <c r="L3" s="36"/>
      <c r="M3" s="37"/>
      <c r="N3" s="36"/>
      <c r="O3" s="36"/>
    </row>
    <row r="4" spans="1:22" s="6" customFormat="1" ht="18.75" customHeight="1" x14ac:dyDescent="0.3">
      <c r="B4" s="359" t="s">
        <v>76</v>
      </c>
      <c r="C4" s="359"/>
      <c r="D4" s="359"/>
      <c r="E4" s="359"/>
      <c r="F4" s="359"/>
      <c r="G4" s="359"/>
      <c r="H4" s="359"/>
      <c r="I4" s="359"/>
      <c r="J4" s="359"/>
      <c r="K4" s="36"/>
      <c r="L4" s="36"/>
      <c r="M4" s="36"/>
      <c r="N4" s="36"/>
      <c r="O4" s="36"/>
    </row>
    <row r="5" spans="1:22" s="6" customFormat="1" ht="18.75" customHeight="1" x14ac:dyDescent="0.3">
      <c r="B5" s="246"/>
      <c r="C5" s="246"/>
      <c r="D5" s="246"/>
      <c r="E5" s="246"/>
      <c r="F5" s="246"/>
      <c r="G5" s="246"/>
      <c r="H5" s="246"/>
      <c r="I5" s="246"/>
      <c r="J5" s="246"/>
      <c r="K5" s="36"/>
      <c r="L5" s="36"/>
      <c r="M5" s="36"/>
      <c r="N5" s="36"/>
      <c r="O5" s="36"/>
    </row>
    <row r="6" spans="1:22" s="6" customFormat="1" ht="42" customHeight="1" x14ac:dyDescent="0.3">
      <c r="B6" s="360" t="s">
        <v>75</v>
      </c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</row>
    <row r="7" spans="1:22" ht="17.25" x14ac:dyDescent="0.3">
      <c r="A7" s="2"/>
      <c r="B7" s="33"/>
      <c r="C7" s="33"/>
      <c r="D7" s="33"/>
      <c r="E7" s="33"/>
      <c r="F7" s="33"/>
      <c r="G7" s="33"/>
      <c r="H7" s="33"/>
      <c r="I7" s="33"/>
      <c r="J7" s="33"/>
      <c r="K7" s="3"/>
      <c r="L7" s="4"/>
      <c r="M7" s="4"/>
      <c r="N7" s="4"/>
      <c r="O7" s="4"/>
      <c r="P7" s="1"/>
      <c r="Q7" s="1"/>
      <c r="R7" s="1"/>
      <c r="S7" s="1"/>
      <c r="T7" s="1"/>
      <c r="U7" s="1"/>
    </row>
    <row r="8" spans="1:22" s="7" customFormat="1" ht="18" thickBot="1" x14ac:dyDescent="0.35">
      <c r="A8" s="38"/>
      <c r="B8" s="306" t="s">
        <v>77</v>
      </c>
      <c r="C8" s="306"/>
      <c r="D8" s="306"/>
      <c r="E8" s="306"/>
      <c r="F8" s="306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</row>
    <row r="9" spans="1:22" s="5" customFormat="1" ht="16.5" customHeight="1" thickTop="1" thickBot="1" x14ac:dyDescent="0.3">
      <c r="B9" s="296" t="s">
        <v>0</v>
      </c>
      <c r="C9" s="296"/>
      <c r="D9" s="296"/>
      <c r="E9" s="296" t="s">
        <v>1</v>
      </c>
      <c r="F9" s="296" t="s">
        <v>2</v>
      </c>
      <c r="G9" s="319" t="s">
        <v>3</v>
      </c>
      <c r="H9" s="319" t="s">
        <v>4</v>
      </c>
      <c r="I9" s="319" t="s">
        <v>5</v>
      </c>
      <c r="J9" s="319" t="s">
        <v>6</v>
      </c>
      <c r="K9" s="319" t="s">
        <v>7</v>
      </c>
      <c r="L9" s="319"/>
      <c r="M9" s="319"/>
      <c r="N9" s="319"/>
      <c r="O9" s="296" t="s">
        <v>8</v>
      </c>
      <c r="P9" s="296" t="s">
        <v>9</v>
      </c>
      <c r="Q9" s="296"/>
      <c r="R9" s="296"/>
      <c r="S9" s="296"/>
      <c r="T9" s="296"/>
      <c r="U9" s="296"/>
    </row>
    <row r="10" spans="1:22" s="5" customFormat="1" ht="43.5" customHeight="1" thickTop="1" thickBot="1" x14ac:dyDescent="0.3">
      <c r="B10" s="234" t="s">
        <v>10</v>
      </c>
      <c r="C10" s="234" t="s">
        <v>11</v>
      </c>
      <c r="D10" s="234" t="s">
        <v>12</v>
      </c>
      <c r="E10" s="296"/>
      <c r="F10" s="296"/>
      <c r="G10" s="319"/>
      <c r="H10" s="319"/>
      <c r="I10" s="319"/>
      <c r="J10" s="319"/>
      <c r="K10" s="12" t="s">
        <v>13</v>
      </c>
      <c r="L10" s="12" t="s">
        <v>14</v>
      </c>
      <c r="M10" s="12" t="s">
        <v>116</v>
      </c>
      <c r="N10" s="12" t="s">
        <v>15</v>
      </c>
      <c r="O10" s="296"/>
      <c r="P10" s="296"/>
      <c r="Q10" s="296"/>
      <c r="R10" s="296"/>
      <c r="S10" s="296"/>
      <c r="T10" s="296"/>
      <c r="U10" s="296"/>
    </row>
    <row r="11" spans="1:22" s="7" customFormat="1" ht="252" customHeight="1" thickTop="1" thickBot="1" x14ac:dyDescent="0.3">
      <c r="B11" s="235" t="s">
        <v>79</v>
      </c>
      <c r="C11" s="235" t="s">
        <v>80</v>
      </c>
      <c r="D11" s="235">
        <v>6</v>
      </c>
      <c r="E11" s="41" t="s">
        <v>81</v>
      </c>
      <c r="F11" s="239" t="s">
        <v>16</v>
      </c>
      <c r="G11" s="235" t="s">
        <v>17</v>
      </c>
      <c r="H11" s="235" t="s">
        <v>18</v>
      </c>
      <c r="I11" s="43">
        <v>1.0009999999999999</v>
      </c>
      <c r="J11" s="43">
        <v>1.659</v>
      </c>
      <c r="K11" s="247">
        <v>0</v>
      </c>
      <c r="L11" s="247">
        <v>664</v>
      </c>
      <c r="M11" s="247">
        <v>995</v>
      </c>
      <c r="N11" s="45">
        <v>0</v>
      </c>
      <c r="O11" s="46">
        <f>SUM(J16:J19)</f>
        <v>253059934</v>
      </c>
      <c r="P11" s="361" t="s">
        <v>239</v>
      </c>
      <c r="Q11" s="361"/>
      <c r="R11" s="361"/>
      <c r="S11" s="361"/>
      <c r="T11" s="361"/>
      <c r="U11" s="361"/>
    </row>
    <row r="12" spans="1:22" s="7" customFormat="1" x14ac:dyDescent="0.25"/>
    <row r="13" spans="1:22" s="7" customFormat="1" ht="21" customHeight="1" thickBot="1" x14ac:dyDescent="0.35">
      <c r="B13" s="295" t="s">
        <v>78</v>
      </c>
      <c r="C13" s="295"/>
      <c r="D13" s="295"/>
      <c r="E13" s="295"/>
      <c r="F13" s="295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9"/>
    </row>
    <row r="14" spans="1:22" s="5" customFormat="1" ht="39" customHeight="1" thickTop="1" thickBot="1" x14ac:dyDescent="0.3">
      <c r="B14" s="296" t="s">
        <v>0</v>
      </c>
      <c r="C14" s="296"/>
      <c r="D14" s="296"/>
      <c r="E14" s="296" t="s">
        <v>19</v>
      </c>
      <c r="F14" s="296"/>
      <c r="G14" s="319" t="s">
        <v>20</v>
      </c>
      <c r="H14" s="319"/>
      <c r="I14" s="319"/>
      <c r="J14" s="319"/>
      <c r="K14" s="319" t="s">
        <v>21</v>
      </c>
      <c r="L14" s="319"/>
      <c r="M14" s="319"/>
      <c r="N14" s="319"/>
      <c r="O14" s="296" t="s">
        <v>22</v>
      </c>
      <c r="P14" s="319" t="s">
        <v>23</v>
      </c>
      <c r="Q14" s="319"/>
      <c r="R14" s="319"/>
      <c r="S14" s="319"/>
      <c r="T14" s="319"/>
      <c r="U14" s="319"/>
    </row>
    <row r="15" spans="1:22" s="5" customFormat="1" ht="57" customHeight="1" thickTop="1" thickBot="1" x14ac:dyDescent="0.3">
      <c r="B15" s="234" t="s">
        <v>10</v>
      </c>
      <c r="C15" s="234" t="s">
        <v>11</v>
      </c>
      <c r="D15" s="234" t="s">
        <v>12</v>
      </c>
      <c r="E15" s="296"/>
      <c r="F15" s="296"/>
      <c r="G15" s="12" t="s">
        <v>41</v>
      </c>
      <c r="H15" s="12" t="s">
        <v>24</v>
      </c>
      <c r="I15" s="12" t="s">
        <v>25</v>
      </c>
      <c r="J15" s="12" t="s">
        <v>26</v>
      </c>
      <c r="K15" s="12" t="s">
        <v>13</v>
      </c>
      <c r="L15" s="12" t="s">
        <v>14</v>
      </c>
      <c r="M15" s="12" t="s">
        <v>116</v>
      </c>
      <c r="N15" s="12" t="s">
        <v>15</v>
      </c>
      <c r="O15" s="296"/>
      <c r="P15" s="13" t="s">
        <v>27</v>
      </c>
      <c r="Q15" s="13" t="s">
        <v>28</v>
      </c>
      <c r="R15" s="13" t="s">
        <v>29</v>
      </c>
      <c r="S15" s="13" t="s">
        <v>30</v>
      </c>
      <c r="T15" s="13" t="s">
        <v>31</v>
      </c>
      <c r="U15" s="13" t="s">
        <v>32</v>
      </c>
    </row>
    <row r="16" spans="1:22" s="7" customFormat="1" ht="16.5" thickTop="1" thickBot="1" x14ac:dyDescent="0.3">
      <c r="B16" s="366" t="s">
        <v>79</v>
      </c>
      <c r="C16" s="366" t="s">
        <v>80</v>
      </c>
      <c r="D16" s="366">
        <v>6</v>
      </c>
      <c r="E16" s="362" t="s">
        <v>234</v>
      </c>
      <c r="F16" s="362"/>
      <c r="G16" s="157" t="s">
        <v>248</v>
      </c>
      <c r="H16" s="247">
        <v>20</v>
      </c>
      <c r="I16" s="161">
        <v>227.7</v>
      </c>
      <c r="J16" s="158">
        <f>+I16*20</f>
        <v>4554</v>
      </c>
      <c r="K16" s="158"/>
      <c r="L16" s="158">
        <f>+J16/2</f>
        <v>2277</v>
      </c>
      <c r="M16" s="158">
        <v>2277</v>
      </c>
      <c r="N16" s="158"/>
      <c r="O16" s="247" t="s">
        <v>33</v>
      </c>
      <c r="P16" s="181">
        <v>98</v>
      </c>
      <c r="Q16" s="182">
        <v>2071</v>
      </c>
      <c r="R16" s="247">
        <v>3</v>
      </c>
      <c r="S16" s="247">
        <v>3</v>
      </c>
      <c r="T16" s="247">
        <v>1</v>
      </c>
      <c r="U16" s="247"/>
      <c r="V16" s="15"/>
    </row>
    <row r="17" spans="2:22" s="7" customFormat="1" ht="31.5" thickTop="1" thickBot="1" x14ac:dyDescent="0.3">
      <c r="B17" s="367"/>
      <c r="C17" s="367"/>
      <c r="D17" s="367"/>
      <c r="E17" s="363"/>
      <c r="F17" s="363"/>
      <c r="G17" s="93" t="s">
        <v>253</v>
      </c>
      <c r="H17" s="248">
        <v>1659</v>
      </c>
      <c r="I17" s="106">
        <v>360000</v>
      </c>
      <c r="J17" s="159">
        <f>+H17*I17/4</f>
        <v>149310000</v>
      </c>
      <c r="K17" s="159">
        <v>0</v>
      </c>
      <c r="L17" s="159">
        <f>+I17*L11/4</f>
        <v>59760000</v>
      </c>
      <c r="M17" s="159">
        <f>+I17*M11/4</f>
        <v>89550000</v>
      </c>
      <c r="N17" s="159">
        <v>0</v>
      </c>
      <c r="O17" s="248" t="s">
        <v>34</v>
      </c>
      <c r="P17" s="181">
        <v>98</v>
      </c>
      <c r="Q17" s="182">
        <v>2071</v>
      </c>
      <c r="R17" s="248">
        <v>4</v>
      </c>
      <c r="S17" s="248">
        <v>1</v>
      </c>
      <c r="T17" s="248">
        <v>4</v>
      </c>
      <c r="U17" s="248">
        <v>1</v>
      </c>
      <c r="V17" s="15"/>
    </row>
    <row r="18" spans="2:22" s="121" customFormat="1" ht="102.75" customHeight="1" thickTop="1" thickBot="1" x14ac:dyDescent="0.3">
      <c r="B18" s="248" t="s">
        <v>79</v>
      </c>
      <c r="C18" s="248" t="s">
        <v>80</v>
      </c>
      <c r="D18" s="248">
        <v>6</v>
      </c>
      <c r="E18" s="364" t="s">
        <v>233</v>
      </c>
      <c r="F18" s="365"/>
      <c r="G18" s="93" t="s">
        <v>263</v>
      </c>
      <c r="H18" s="216">
        <v>10</v>
      </c>
      <c r="I18" s="217">
        <v>400000</v>
      </c>
      <c r="J18" s="218">
        <f>+I18*10</f>
        <v>4000000</v>
      </c>
      <c r="K18" s="159">
        <f>+J18/4</f>
        <v>1000000</v>
      </c>
      <c r="L18" s="159">
        <v>1000000</v>
      </c>
      <c r="M18" s="159">
        <v>1000000</v>
      </c>
      <c r="N18" s="159">
        <v>1000000</v>
      </c>
      <c r="O18" s="102" t="s">
        <v>34</v>
      </c>
      <c r="P18" s="181">
        <v>98</v>
      </c>
      <c r="Q18" s="182">
        <v>2071</v>
      </c>
      <c r="R18" s="123">
        <v>4</v>
      </c>
      <c r="S18" s="123">
        <v>1</v>
      </c>
      <c r="T18" s="123">
        <v>4</v>
      </c>
      <c r="U18" s="123">
        <v>1</v>
      </c>
      <c r="V18" s="15"/>
    </row>
    <row r="19" spans="2:22" s="7" customFormat="1" ht="31.5" thickTop="1" thickBot="1" x14ac:dyDescent="0.3">
      <c r="B19" s="232" t="s">
        <v>79</v>
      </c>
      <c r="C19" s="232" t="s">
        <v>80</v>
      </c>
      <c r="D19" s="232">
        <v>6</v>
      </c>
      <c r="E19" s="330" t="s">
        <v>235</v>
      </c>
      <c r="F19" s="324"/>
      <c r="G19" s="199" t="s">
        <v>254</v>
      </c>
      <c r="H19" s="233">
        <v>913</v>
      </c>
      <c r="I19" s="51">
        <v>109250</v>
      </c>
      <c r="J19" s="51">
        <f>SUM(K19:N19)</f>
        <v>99745380</v>
      </c>
      <c r="K19" s="51">
        <f>99745380/4</f>
        <v>24936345</v>
      </c>
      <c r="L19" s="51">
        <f>99745380/4</f>
        <v>24936345</v>
      </c>
      <c r="M19" s="51">
        <f>99745380/4</f>
        <v>24936345</v>
      </c>
      <c r="N19" s="51">
        <f>99745380/4</f>
        <v>24936345</v>
      </c>
      <c r="O19" s="54" t="s">
        <v>34</v>
      </c>
      <c r="P19" s="181">
        <v>98</v>
      </c>
      <c r="Q19" s="182">
        <v>2071</v>
      </c>
      <c r="R19" s="123">
        <v>4</v>
      </c>
      <c r="S19" s="123">
        <v>1</v>
      </c>
      <c r="T19" s="123">
        <v>4</v>
      </c>
      <c r="U19" s="123">
        <v>1</v>
      </c>
    </row>
    <row r="20" spans="2:22" s="7" customFormat="1" ht="23.25" customHeight="1" x14ac:dyDescent="0.25">
      <c r="B20" s="55"/>
      <c r="C20" s="55"/>
      <c r="D20" s="55"/>
      <c r="E20" s="55"/>
      <c r="F20" s="55"/>
      <c r="G20" s="55"/>
      <c r="H20" s="55"/>
      <c r="I20" s="20"/>
      <c r="J20" s="21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2:22" s="7" customFormat="1" x14ac:dyDescent="0.25">
      <c r="E21" s="56"/>
      <c r="F21" s="56"/>
      <c r="G21" s="57"/>
      <c r="H21" s="58"/>
      <c r="I21" s="58"/>
      <c r="J21" s="58"/>
      <c r="K21" s="58"/>
      <c r="L21" s="58"/>
      <c r="M21" s="58"/>
      <c r="N21" s="58"/>
      <c r="O21" s="59"/>
      <c r="P21" s="59"/>
      <c r="Q21" s="59"/>
      <c r="R21" s="59"/>
      <c r="S21" s="59"/>
      <c r="T21" s="59"/>
    </row>
    <row r="22" spans="2:22" s="7" customFormat="1" ht="18" thickBot="1" x14ac:dyDescent="0.35">
      <c r="B22" s="306" t="s">
        <v>77</v>
      </c>
      <c r="C22" s="306"/>
      <c r="D22" s="306"/>
      <c r="E22" s="306"/>
      <c r="F22" s="306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</row>
    <row r="23" spans="2:22" s="7" customFormat="1" ht="18" customHeight="1" thickTop="1" thickBot="1" x14ac:dyDescent="0.3">
      <c r="B23" s="296" t="s">
        <v>0</v>
      </c>
      <c r="C23" s="296"/>
      <c r="D23" s="296"/>
      <c r="E23" s="296" t="s">
        <v>1</v>
      </c>
      <c r="F23" s="296" t="s">
        <v>2</v>
      </c>
      <c r="G23" s="319" t="s">
        <v>3</v>
      </c>
      <c r="H23" s="319" t="s">
        <v>4</v>
      </c>
      <c r="I23" s="319" t="s">
        <v>5</v>
      </c>
      <c r="J23" s="319" t="s">
        <v>6</v>
      </c>
      <c r="K23" s="319" t="s">
        <v>7</v>
      </c>
      <c r="L23" s="319"/>
      <c r="M23" s="319"/>
      <c r="N23" s="319"/>
      <c r="O23" s="296" t="s">
        <v>8</v>
      </c>
      <c r="P23" s="296" t="s">
        <v>9</v>
      </c>
      <c r="Q23" s="296"/>
      <c r="R23" s="296"/>
      <c r="S23" s="296"/>
      <c r="T23" s="296"/>
      <c r="U23" s="296"/>
    </row>
    <row r="24" spans="2:22" s="7" customFormat="1" ht="38.25" customHeight="1" thickTop="1" thickBot="1" x14ac:dyDescent="0.3">
      <c r="B24" s="234" t="s">
        <v>10</v>
      </c>
      <c r="C24" s="234" t="s">
        <v>11</v>
      </c>
      <c r="D24" s="234" t="s">
        <v>12</v>
      </c>
      <c r="E24" s="296"/>
      <c r="F24" s="296"/>
      <c r="G24" s="319"/>
      <c r="H24" s="319"/>
      <c r="I24" s="319"/>
      <c r="J24" s="319"/>
      <c r="K24" s="12" t="s">
        <v>13</v>
      </c>
      <c r="L24" s="12" t="s">
        <v>14</v>
      </c>
      <c r="M24" s="12" t="s">
        <v>116</v>
      </c>
      <c r="N24" s="12" t="s">
        <v>15</v>
      </c>
      <c r="O24" s="296"/>
      <c r="P24" s="296"/>
      <c r="Q24" s="296"/>
      <c r="R24" s="296"/>
      <c r="S24" s="296"/>
      <c r="T24" s="296"/>
      <c r="U24" s="296"/>
    </row>
    <row r="25" spans="2:22" s="7" customFormat="1" ht="76.5" thickTop="1" thickBot="1" x14ac:dyDescent="0.3">
      <c r="B25" s="235" t="s">
        <v>79</v>
      </c>
      <c r="C25" s="235" t="s">
        <v>80</v>
      </c>
      <c r="D25" s="235">
        <v>6</v>
      </c>
      <c r="E25" s="41" t="s">
        <v>82</v>
      </c>
      <c r="F25" s="239" t="s">
        <v>83</v>
      </c>
      <c r="G25" s="235" t="s">
        <v>17</v>
      </c>
      <c r="H25" s="235" t="s">
        <v>18</v>
      </c>
      <c r="I25" s="60">
        <v>523</v>
      </c>
      <c r="J25" s="235">
        <v>200</v>
      </c>
      <c r="K25" s="247"/>
      <c r="L25" s="247"/>
      <c r="M25" s="247">
        <v>100</v>
      </c>
      <c r="N25" s="45">
        <v>100</v>
      </c>
      <c r="O25" s="46">
        <f>SUM(J30:J32)</f>
        <v>322000</v>
      </c>
      <c r="P25" s="316" t="s">
        <v>85</v>
      </c>
      <c r="Q25" s="317"/>
      <c r="R25" s="317"/>
      <c r="S25" s="317"/>
      <c r="T25" s="317"/>
      <c r="U25" s="318"/>
    </row>
    <row r="26" spans="2:22" s="7" customFormat="1" x14ac:dyDescent="0.25"/>
    <row r="27" spans="2:22" s="7" customFormat="1" ht="18" thickBot="1" x14ac:dyDescent="0.35">
      <c r="B27" s="295" t="s">
        <v>78</v>
      </c>
      <c r="C27" s="295"/>
      <c r="D27" s="295"/>
      <c r="E27" s="295"/>
      <c r="F27" s="2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4"/>
      <c r="R27" s="94"/>
      <c r="S27" s="94"/>
      <c r="T27" s="94"/>
      <c r="U27" s="94"/>
    </row>
    <row r="28" spans="2:22" s="7" customFormat="1" ht="16.5" thickTop="1" thickBot="1" x14ac:dyDescent="0.3">
      <c r="B28" s="296" t="s">
        <v>0</v>
      </c>
      <c r="C28" s="296"/>
      <c r="D28" s="296"/>
      <c r="E28" s="296" t="s">
        <v>19</v>
      </c>
      <c r="F28" s="296"/>
      <c r="G28" s="319" t="s">
        <v>20</v>
      </c>
      <c r="H28" s="319"/>
      <c r="I28" s="319"/>
      <c r="J28" s="319"/>
      <c r="K28" s="319" t="s">
        <v>21</v>
      </c>
      <c r="L28" s="319"/>
      <c r="M28" s="319"/>
      <c r="N28" s="319"/>
      <c r="O28" s="296" t="s">
        <v>22</v>
      </c>
      <c r="P28" s="319" t="s">
        <v>23</v>
      </c>
      <c r="Q28" s="319"/>
      <c r="R28" s="319"/>
      <c r="S28" s="319"/>
      <c r="T28" s="319"/>
      <c r="U28" s="319"/>
    </row>
    <row r="29" spans="2:22" s="7" customFormat="1" ht="55.5" customHeight="1" thickTop="1" thickBot="1" x14ac:dyDescent="0.3">
      <c r="B29" s="234" t="s">
        <v>10</v>
      </c>
      <c r="C29" s="234" t="s">
        <v>11</v>
      </c>
      <c r="D29" s="234" t="s">
        <v>12</v>
      </c>
      <c r="E29" s="296"/>
      <c r="F29" s="296"/>
      <c r="G29" s="12" t="s">
        <v>20</v>
      </c>
      <c r="H29" s="12" t="s">
        <v>24</v>
      </c>
      <c r="I29" s="12" t="s">
        <v>25</v>
      </c>
      <c r="J29" s="12" t="s">
        <v>26</v>
      </c>
      <c r="K29" s="12" t="s">
        <v>13</v>
      </c>
      <c r="L29" s="12" t="s">
        <v>14</v>
      </c>
      <c r="M29" s="12" t="s">
        <v>116</v>
      </c>
      <c r="N29" s="12" t="s">
        <v>15</v>
      </c>
      <c r="O29" s="296"/>
      <c r="P29" s="13" t="s">
        <v>27</v>
      </c>
      <c r="Q29" s="13" t="s">
        <v>28</v>
      </c>
      <c r="R29" s="13" t="s">
        <v>29</v>
      </c>
      <c r="S29" s="13" t="s">
        <v>30</v>
      </c>
      <c r="T29" s="13" t="s">
        <v>31</v>
      </c>
      <c r="U29" s="13" t="s">
        <v>32</v>
      </c>
    </row>
    <row r="30" spans="2:22" s="7" customFormat="1" ht="31.5" thickTop="1" thickBot="1" x14ac:dyDescent="0.3">
      <c r="B30" s="307" t="s">
        <v>79</v>
      </c>
      <c r="C30" s="307" t="s">
        <v>80</v>
      </c>
      <c r="D30" s="307">
        <v>6</v>
      </c>
      <c r="E30" s="291" t="s">
        <v>84</v>
      </c>
      <c r="F30" s="291"/>
      <c r="G30" s="239" t="s">
        <v>255</v>
      </c>
      <c r="H30" s="235">
        <v>10</v>
      </c>
      <c r="I30" s="46">
        <v>1600</v>
      </c>
      <c r="J30" s="50">
        <f>+I30*H30</f>
        <v>16000</v>
      </c>
      <c r="K30" s="50">
        <v>0</v>
      </c>
      <c r="L30" s="50">
        <v>0</v>
      </c>
      <c r="M30" s="50">
        <f>+J30/2</f>
        <v>8000</v>
      </c>
      <c r="N30" s="50">
        <f>+J30/2</f>
        <v>8000</v>
      </c>
      <c r="O30" s="235" t="s">
        <v>34</v>
      </c>
      <c r="P30" s="247">
        <v>98</v>
      </c>
      <c r="Q30" s="180">
        <v>2071</v>
      </c>
      <c r="R30" s="248">
        <v>3</v>
      </c>
      <c r="S30" s="248">
        <v>6</v>
      </c>
      <c r="T30" s="248">
        <v>3</v>
      </c>
      <c r="U30" s="247">
        <v>6</v>
      </c>
    </row>
    <row r="31" spans="2:22" s="7" customFormat="1" ht="30.75" thickBot="1" x14ac:dyDescent="0.3">
      <c r="B31" s="302"/>
      <c r="C31" s="302"/>
      <c r="D31" s="302"/>
      <c r="E31" s="299"/>
      <c r="F31" s="299"/>
      <c r="G31" s="77" t="s">
        <v>252</v>
      </c>
      <c r="H31" s="232">
        <v>20</v>
      </c>
      <c r="I31" s="96">
        <v>300</v>
      </c>
      <c r="J31" s="97">
        <f>+I31*H31</f>
        <v>6000</v>
      </c>
      <c r="K31" s="97">
        <v>0</v>
      </c>
      <c r="L31" s="97">
        <v>0</v>
      </c>
      <c r="M31" s="97">
        <f>+J31/2</f>
        <v>3000</v>
      </c>
      <c r="N31" s="97">
        <f>+J31/2</f>
        <v>3000</v>
      </c>
      <c r="O31" s="232" t="s">
        <v>34</v>
      </c>
      <c r="P31" s="248">
        <v>98</v>
      </c>
      <c r="Q31" s="248">
        <v>2071</v>
      </c>
      <c r="R31" s="248">
        <v>3</v>
      </c>
      <c r="S31" s="248">
        <v>6</v>
      </c>
      <c r="T31" s="248">
        <v>3</v>
      </c>
      <c r="U31" s="248">
        <v>6</v>
      </c>
    </row>
    <row r="32" spans="2:22" s="7" customFormat="1" ht="78" customHeight="1" thickBot="1" x14ac:dyDescent="0.3">
      <c r="B32" s="302"/>
      <c r="C32" s="302"/>
      <c r="D32" s="302"/>
      <c r="E32" s="299"/>
      <c r="F32" s="299"/>
      <c r="G32" s="111" t="s">
        <v>264</v>
      </c>
      <c r="H32" s="248">
        <v>6</v>
      </c>
      <c r="I32" s="166">
        <v>50000</v>
      </c>
      <c r="J32" s="219">
        <f>+I32*H32</f>
        <v>300000</v>
      </c>
      <c r="K32" s="111">
        <v>0</v>
      </c>
      <c r="L32" s="111">
        <v>0</v>
      </c>
      <c r="M32" s="111">
        <f>+J32/2</f>
        <v>150000</v>
      </c>
      <c r="N32" s="111">
        <f>+M32</f>
        <v>150000</v>
      </c>
      <c r="O32" s="111" t="s">
        <v>34</v>
      </c>
      <c r="P32" s="248">
        <v>98</v>
      </c>
      <c r="Q32" s="248">
        <v>2071</v>
      </c>
      <c r="R32" s="248">
        <v>4</v>
      </c>
      <c r="S32" s="248">
        <v>1</v>
      </c>
      <c r="T32" s="248">
        <v>3</v>
      </c>
      <c r="U32" s="248"/>
    </row>
    <row r="33" spans="2:21" s="7" customFormat="1" x14ac:dyDescent="0.25">
      <c r="B33" s="8"/>
      <c r="C33" s="8"/>
      <c r="D33" s="8"/>
      <c r="E33" s="8"/>
      <c r="F33" s="8"/>
      <c r="G33" s="8"/>
      <c r="H33" s="9"/>
      <c r="I33" s="9"/>
      <c r="J33" s="10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2:21" s="7" customFormat="1" x14ac:dyDescent="0.25">
      <c r="B34" s="8"/>
      <c r="C34" s="8"/>
      <c r="D34" s="8"/>
      <c r="E34" s="8"/>
      <c r="F34" s="8"/>
      <c r="G34" s="8"/>
      <c r="H34" s="9"/>
      <c r="I34" s="9"/>
      <c r="J34" s="10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2:21" s="7" customFormat="1" x14ac:dyDescent="0.25">
      <c r="B35" s="8"/>
      <c r="C35" s="8"/>
      <c r="D35" s="8"/>
      <c r="E35" s="8"/>
      <c r="F35" s="8"/>
      <c r="G35" s="8"/>
      <c r="H35" s="9"/>
      <c r="I35" s="9"/>
      <c r="J35" s="10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2:21" s="7" customFormat="1" x14ac:dyDescent="0.25">
      <c r="B36" s="8"/>
      <c r="C36" s="8"/>
      <c r="D36" s="8"/>
      <c r="E36" s="8"/>
      <c r="F36" s="8"/>
      <c r="G36" s="8"/>
      <c r="H36" s="9"/>
      <c r="I36" s="9"/>
      <c r="J36" s="10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2:21" s="7" customFormat="1" x14ac:dyDescent="0.25">
      <c r="B37" s="8"/>
      <c r="C37" s="8"/>
      <c r="D37" s="8"/>
      <c r="E37" s="8"/>
      <c r="F37" s="8"/>
      <c r="G37" s="8"/>
      <c r="H37" s="9"/>
      <c r="I37" s="9"/>
      <c r="J37" s="10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2:21" s="7" customFormat="1" ht="17.25" customHeight="1" thickBot="1" x14ac:dyDescent="0.35">
      <c r="B38" s="306" t="s">
        <v>77</v>
      </c>
      <c r="C38" s="306"/>
      <c r="D38" s="306"/>
      <c r="E38" s="306"/>
      <c r="F38" s="306"/>
      <c r="G38" s="39"/>
      <c r="H38" s="39"/>
      <c r="I38" s="39"/>
      <c r="J38" s="39"/>
      <c r="K38" s="39"/>
      <c r="L38" s="39"/>
      <c r="M38" s="39"/>
      <c r="N38" s="39"/>
      <c r="O38" s="98"/>
      <c r="P38" s="98"/>
      <c r="Q38" s="99"/>
      <c r="R38" s="99"/>
      <c r="S38" s="99"/>
      <c r="T38" s="99"/>
      <c r="U38" s="99"/>
    </row>
    <row r="39" spans="2:21" s="7" customFormat="1" ht="16.5" thickTop="1" thickBot="1" x14ac:dyDescent="0.3">
      <c r="B39" s="308" t="s">
        <v>0</v>
      </c>
      <c r="C39" s="309"/>
      <c r="D39" s="310"/>
      <c r="E39" s="311" t="s">
        <v>1</v>
      </c>
      <c r="F39" s="311" t="s">
        <v>2</v>
      </c>
      <c r="G39" s="346" t="s">
        <v>3</v>
      </c>
      <c r="H39" s="346" t="s">
        <v>4</v>
      </c>
      <c r="I39" s="346" t="s">
        <v>5</v>
      </c>
      <c r="J39" s="346" t="s">
        <v>6</v>
      </c>
      <c r="K39" s="349" t="s">
        <v>7</v>
      </c>
      <c r="L39" s="350"/>
      <c r="M39" s="350"/>
      <c r="N39" s="351"/>
      <c r="O39" s="311" t="s">
        <v>8</v>
      </c>
      <c r="P39" s="352" t="s">
        <v>9</v>
      </c>
      <c r="Q39" s="353"/>
      <c r="R39" s="353"/>
      <c r="S39" s="353"/>
      <c r="T39" s="353"/>
      <c r="U39" s="354"/>
    </row>
    <row r="40" spans="2:21" s="7" customFormat="1" ht="32.25" customHeight="1" thickTop="1" thickBot="1" x14ac:dyDescent="0.3">
      <c r="B40" s="236" t="s">
        <v>10</v>
      </c>
      <c r="C40" s="236" t="s">
        <v>11</v>
      </c>
      <c r="D40" s="236" t="s">
        <v>12</v>
      </c>
      <c r="E40" s="312"/>
      <c r="F40" s="312"/>
      <c r="G40" s="347"/>
      <c r="H40" s="347"/>
      <c r="I40" s="347"/>
      <c r="J40" s="347"/>
      <c r="K40" s="62" t="s">
        <v>13</v>
      </c>
      <c r="L40" s="62" t="s">
        <v>14</v>
      </c>
      <c r="M40" s="62" t="s">
        <v>116</v>
      </c>
      <c r="N40" s="62" t="s">
        <v>15</v>
      </c>
      <c r="O40" s="312"/>
      <c r="P40" s="355"/>
      <c r="Q40" s="356"/>
      <c r="R40" s="356"/>
      <c r="S40" s="356"/>
      <c r="T40" s="356"/>
      <c r="U40" s="357"/>
    </row>
    <row r="41" spans="2:21" s="7" customFormat="1" ht="148.5" customHeight="1" thickTop="1" thickBot="1" x14ac:dyDescent="0.3">
      <c r="B41" s="122" t="s">
        <v>79</v>
      </c>
      <c r="C41" s="122" t="s">
        <v>80</v>
      </c>
      <c r="D41" s="122">
        <v>6</v>
      </c>
      <c r="E41" s="171" t="s">
        <v>86</v>
      </c>
      <c r="F41" s="245" t="s">
        <v>88</v>
      </c>
      <c r="G41" s="122" t="s">
        <v>35</v>
      </c>
      <c r="H41" s="122" t="s">
        <v>18</v>
      </c>
      <c r="I41" s="174">
        <f>44+69+120</f>
        <v>233</v>
      </c>
      <c r="J41" s="122">
        <f>SUM(K41:N41)</f>
        <v>340</v>
      </c>
      <c r="K41" s="172">
        <f>22+32+40</f>
        <v>94</v>
      </c>
      <c r="L41" s="172">
        <f>22+19+40</f>
        <v>81</v>
      </c>
      <c r="M41" s="172">
        <f>22+21+40</f>
        <v>83</v>
      </c>
      <c r="N41" s="173">
        <f>20+22+40</f>
        <v>82</v>
      </c>
      <c r="O41" s="128">
        <f>SUM(J46:J59)</f>
        <v>2987419.9</v>
      </c>
      <c r="P41" s="342" t="s">
        <v>87</v>
      </c>
      <c r="Q41" s="342"/>
      <c r="R41" s="342"/>
      <c r="S41" s="342"/>
      <c r="T41" s="342"/>
      <c r="U41" s="342"/>
    </row>
    <row r="42" spans="2:21" s="7" customFormat="1" x14ac:dyDescent="0.25">
      <c r="B42" s="8"/>
      <c r="C42" s="8"/>
      <c r="D42" s="8"/>
      <c r="E42" s="8"/>
      <c r="F42" s="8"/>
      <c r="G42" s="8"/>
      <c r="H42" s="9"/>
      <c r="I42" s="9"/>
      <c r="J42" s="10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2:21" s="7" customFormat="1" ht="18" thickBot="1" x14ac:dyDescent="0.35">
      <c r="B43" s="295" t="s">
        <v>78</v>
      </c>
      <c r="C43" s="295"/>
      <c r="D43" s="295"/>
      <c r="E43" s="295"/>
      <c r="F43" s="295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1"/>
      <c r="S43" s="101"/>
      <c r="T43" s="101"/>
      <c r="U43" s="101"/>
    </row>
    <row r="44" spans="2:21" s="7" customFormat="1" ht="24.75" customHeight="1" thickTop="1" thickBot="1" x14ac:dyDescent="0.3">
      <c r="B44" s="296" t="s">
        <v>0</v>
      </c>
      <c r="C44" s="296"/>
      <c r="D44" s="296"/>
      <c r="E44" s="296" t="s">
        <v>19</v>
      </c>
      <c r="F44" s="296"/>
      <c r="G44" s="319" t="s">
        <v>20</v>
      </c>
      <c r="H44" s="319"/>
      <c r="I44" s="319"/>
      <c r="J44" s="319"/>
      <c r="K44" s="319" t="s">
        <v>21</v>
      </c>
      <c r="L44" s="319"/>
      <c r="M44" s="319"/>
      <c r="N44" s="319"/>
      <c r="O44" s="296" t="s">
        <v>22</v>
      </c>
      <c r="P44" s="319" t="s">
        <v>23</v>
      </c>
      <c r="Q44" s="319"/>
      <c r="R44" s="319"/>
      <c r="S44" s="319"/>
      <c r="T44" s="319"/>
      <c r="U44" s="319"/>
    </row>
    <row r="45" spans="2:21" s="7" customFormat="1" ht="55.5" customHeight="1" thickTop="1" thickBot="1" x14ac:dyDescent="0.3">
      <c r="B45" s="234" t="s">
        <v>10</v>
      </c>
      <c r="C45" s="234" t="s">
        <v>11</v>
      </c>
      <c r="D45" s="234" t="s">
        <v>12</v>
      </c>
      <c r="E45" s="296"/>
      <c r="F45" s="296"/>
      <c r="G45" s="12" t="s">
        <v>36</v>
      </c>
      <c r="H45" s="12" t="s">
        <v>24</v>
      </c>
      <c r="I45" s="12" t="s">
        <v>25</v>
      </c>
      <c r="J45" s="12" t="s">
        <v>26</v>
      </c>
      <c r="K45" s="12" t="s">
        <v>13</v>
      </c>
      <c r="L45" s="12" t="s">
        <v>14</v>
      </c>
      <c r="M45" s="12" t="s">
        <v>116</v>
      </c>
      <c r="N45" s="12" t="s">
        <v>15</v>
      </c>
      <c r="O45" s="296"/>
      <c r="P45" s="13" t="s">
        <v>27</v>
      </c>
      <c r="Q45" s="13" t="s">
        <v>28</v>
      </c>
      <c r="R45" s="13" t="s">
        <v>29</v>
      </c>
      <c r="S45" s="13" t="s">
        <v>30</v>
      </c>
      <c r="T45" s="13" t="s">
        <v>31</v>
      </c>
      <c r="U45" s="13" t="s">
        <v>32</v>
      </c>
    </row>
    <row r="46" spans="2:21" s="7" customFormat="1" ht="16.5" thickTop="1" thickBot="1" x14ac:dyDescent="0.3">
      <c r="B46" s="307" t="s">
        <v>79</v>
      </c>
      <c r="C46" s="307" t="s">
        <v>80</v>
      </c>
      <c r="D46" s="307">
        <v>6</v>
      </c>
      <c r="E46" s="291" t="s">
        <v>97</v>
      </c>
      <c r="F46" s="291"/>
      <c r="G46" s="109" t="s">
        <v>90</v>
      </c>
      <c r="H46" s="235">
        <f>86</f>
        <v>86</v>
      </c>
      <c r="I46" s="163">
        <v>1625</v>
      </c>
      <c r="J46" s="109">
        <f>SUM(K46:N46)</f>
        <v>139751.5</v>
      </c>
      <c r="K46" s="109">
        <f>+I46*H46/4</f>
        <v>34937.5</v>
      </c>
      <c r="L46" s="109">
        <v>34938</v>
      </c>
      <c r="M46" s="109">
        <v>34938</v>
      </c>
      <c r="N46" s="109">
        <v>34938</v>
      </c>
      <c r="O46" s="235" t="s">
        <v>34</v>
      </c>
      <c r="P46" s="248">
        <v>98</v>
      </c>
      <c r="Q46" s="248">
        <v>2071</v>
      </c>
      <c r="R46" s="248">
        <v>2</v>
      </c>
      <c r="S46" s="248">
        <v>3</v>
      </c>
      <c r="T46" s="235">
        <v>1</v>
      </c>
      <c r="U46" s="235"/>
    </row>
    <row r="47" spans="2:21" s="7" customFormat="1" ht="30.75" thickBot="1" x14ac:dyDescent="0.3">
      <c r="B47" s="302"/>
      <c r="C47" s="302"/>
      <c r="D47" s="302"/>
      <c r="E47" s="299"/>
      <c r="F47" s="299"/>
      <c r="G47" s="110" t="s">
        <v>91</v>
      </c>
      <c r="H47" s="232">
        <f>2500</f>
        <v>2500</v>
      </c>
      <c r="I47" s="162">
        <v>240</v>
      </c>
      <c r="J47" s="162">
        <f t="shared" ref="J47:J59" si="0">+H47*I47</f>
        <v>600000</v>
      </c>
      <c r="K47" s="110">
        <f>+I47*H47/4</f>
        <v>150000</v>
      </c>
      <c r="L47" s="110">
        <v>150000</v>
      </c>
      <c r="M47" s="110">
        <v>150000</v>
      </c>
      <c r="N47" s="110">
        <v>150000</v>
      </c>
      <c r="O47" s="232" t="s">
        <v>34</v>
      </c>
      <c r="P47" s="248">
        <v>98</v>
      </c>
      <c r="Q47" s="248">
        <v>2071</v>
      </c>
      <c r="R47" s="248">
        <v>3</v>
      </c>
      <c r="S47" s="248">
        <v>7</v>
      </c>
      <c r="T47" s="248">
        <v>1</v>
      </c>
      <c r="U47" s="248">
        <v>2</v>
      </c>
    </row>
    <row r="48" spans="2:21" s="7" customFormat="1" ht="15.75" thickBot="1" x14ac:dyDescent="0.3">
      <c r="B48" s="302"/>
      <c r="C48" s="302"/>
      <c r="D48" s="302"/>
      <c r="E48" s="299"/>
      <c r="F48" s="299"/>
      <c r="G48" s="110" t="s">
        <v>94</v>
      </c>
      <c r="H48" s="232">
        <f>80</f>
        <v>80</v>
      </c>
      <c r="I48" s="162">
        <v>40</v>
      </c>
      <c r="J48" s="162">
        <f t="shared" si="0"/>
        <v>3200</v>
      </c>
      <c r="K48" s="110">
        <f>3200/4</f>
        <v>800</v>
      </c>
      <c r="L48" s="110">
        <v>800</v>
      </c>
      <c r="M48" s="110">
        <v>800</v>
      </c>
      <c r="N48" s="110">
        <v>800</v>
      </c>
      <c r="O48" s="232" t="s">
        <v>34</v>
      </c>
      <c r="P48" s="248">
        <v>98</v>
      </c>
      <c r="Q48" s="248">
        <v>2071</v>
      </c>
      <c r="R48" s="248">
        <v>2</v>
      </c>
      <c r="S48" s="248">
        <v>4</v>
      </c>
      <c r="T48" s="248">
        <v>4</v>
      </c>
      <c r="U48" s="248"/>
    </row>
    <row r="49" spans="1:25" s="7" customFormat="1" ht="15.75" thickBot="1" x14ac:dyDescent="0.3">
      <c r="B49" s="302" t="s">
        <v>79</v>
      </c>
      <c r="C49" s="302" t="s">
        <v>80</v>
      </c>
      <c r="D49" s="302">
        <v>6</v>
      </c>
      <c r="E49" s="299" t="s">
        <v>99</v>
      </c>
      <c r="F49" s="299"/>
      <c r="G49" s="113" t="s">
        <v>92</v>
      </c>
      <c r="H49" s="102">
        <v>94</v>
      </c>
      <c r="I49" s="164">
        <v>1500</v>
      </c>
      <c r="J49" s="162">
        <f t="shared" si="0"/>
        <v>141000</v>
      </c>
      <c r="K49" s="165">
        <f>I49*H49/4</f>
        <v>35250</v>
      </c>
      <c r="L49" s="165">
        <f t="shared" ref="L49:N50" si="1">+K49</f>
        <v>35250</v>
      </c>
      <c r="M49" s="165">
        <f t="shared" si="1"/>
        <v>35250</v>
      </c>
      <c r="N49" s="165">
        <f t="shared" si="1"/>
        <v>35250</v>
      </c>
      <c r="O49" s="232" t="s">
        <v>34</v>
      </c>
      <c r="P49" s="248">
        <v>98</v>
      </c>
      <c r="Q49" s="248">
        <v>2071</v>
      </c>
      <c r="R49" s="248">
        <v>2</v>
      </c>
      <c r="S49" s="248">
        <v>3</v>
      </c>
      <c r="T49" s="248">
        <v>1</v>
      </c>
      <c r="U49" s="248"/>
      <c r="X49" s="64"/>
      <c r="Y49" s="64"/>
    </row>
    <row r="50" spans="1:25" s="7" customFormat="1" ht="15.75" thickBot="1" x14ac:dyDescent="0.3">
      <c r="B50" s="302"/>
      <c r="C50" s="302"/>
      <c r="D50" s="302"/>
      <c r="E50" s="299"/>
      <c r="F50" s="299"/>
      <c r="G50" s="113" t="s">
        <v>93</v>
      </c>
      <c r="H50" s="102">
        <v>2500</v>
      </c>
      <c r="I50" s="164">
        <v>240</v>
      </c>
      <c r="J50" s="162">
        <f t="shared" si="0"/>
        <v>600000</v>
      </c>
      <c r="K50" s="165">
        <f t="shared" ref="K50:K57" si="2">+I50*H50/4</f>
        <v>150000</v>
      </c>
      <c r="L50" s="165">
        <f t="shared" si="1"/>
        <v>150000</v>
      </c>
      <c r="M50" s="165">
        <f t="shared" si="1"/>
        <v>150000</v>
      </c>
      <c r="N50" s="165">
        <f t="shared" si="1"/>
        <v>150000</v>
      </c>
      <c r="O50" s="232" t="s">
        <v>34</v>
      </c>
      <c r="P50" s="248">
        <v>98</v>
      </c>
      <c r="Q50" s="248">
        <v>2071</v>
      </c>
      <c r="R50" s="248">
        <v>3</v>
      </c>
      <c r="S50" s="248">
        <v>7</v>
      </c>
      <c r="T50" s="248">
        <v>1</v>
      </c>
      <c r="U50" s="248">
        <v>2</v>
      </c>
      <c r="Y50" s="64"/>
    </row>
    <row r="51" spans="1:25" s="7" customFormat="1" ht="15.75" thickBot="1" x14ac:dyDescent="0.3">
      <c r="B51" s="302"/>
      <c r="C51" s="302"/>
      <c r="D51" s="302"/>
      <c r="E51" s="299"/>
      <c r="F51" s="299"/>
      <c r="G51" s="110" t="s">
        <v>94</v>
      </c>
      <c r="H51" s="232">
        <f>80</f>
        <v>80</v>
      </c>
      <c r="I51" s="162">
        <v>40</v>
      </c>
      <c r="J51" s="162">
        <f t="shared" si="0"/>
        <v>3200</v>
      </c>
      <c r="K51" s="110">
        <f t="shared" si="2"/>
        <v>800</v>
      </c>
      <c r="L51" s="110">
        <v>800</v>
      </c>
      <c r="M51" s="110">
        <v>800</v>
      </c>
      <c r="N51" s="110">
        <v>800</v>
      </c>
      <c r="O51" s="232" t="s">
        <v>34</v>
      </c>
      <c r="P51" s="248">
        <v>98</v>
      </c>
      <c r="Q51" s="248">
        <v>2071</v>
      </c>
      <c r="R51" s="248">
        <v>2</v>
      </c>
      <c r="S51" s="248">
        <v>4</v>
      </c>
      <c r="T51" s="248">
        <v>4</v>
      </c>
      <c r="U51" s="248"/>
      <c r="Y51" s="65"/>
    </row>
    <row r="52" spans="1:25" s="7" customFormat="1" ht="15.75" thickBot="1" x14ac:dyDescent="0.3">
      <c r="B52" s="302" t="s">
        <v>79</v>
      </c>
      <c r="C52" s="302" t="s">
        <v>80</v>
      </c>
      <c r="D52" s="302">
        <v>6</v>
      </c>
      <c r="E52" s="293" t="s">
        <v>100</v>
      </c>
      <c r="F52" s="348"/>
      <c r="G52" s="111" t="s">
        <v>38</v>
      </c>
      <c r="H52" s="248">
        <v>160</v>
      </c>
      <c r="I52" s="166">
        <v>1625</v>
      </c>
      <c r="J52" s="162">
        <f t="shared" si="0"/>
        <v>260000</v>
      </c>
      <c r="K52" s="166">
        <f t="shared" si="2"/>
        <v>65000</v>
      </c>
      <c r="L52" s="166">
        <f t="shared" ref="L52:L56" si="3">K52</f>
        <v>65000</v>
      </c>
      <c r="M52" s="166">
        <f t="shared" ref="M52:M56" si="4">K52</f>
        <v>65000</v>
      </c>
      <c r="N52" s="166">
        <f t="shared" ref="N52:N56" si="5">K52</f>
        <v>65000</v>
      </c>
      <c r="O52" s="232" t="s">
        <v>34</v>
      </c>
      <c r="P52" s="248">
        <v>98</v>
      </c>
      <c r="Q52" s="248">
        <v>2071</v>
      </c>
      <c r="R52" s="248">
        <v>2</v>
      </c>
      <c r="S52" s="248">
        <v>3</v>
      </c>
      <c r="T52" s="248">
        <v>1</v>
      </c>
      <c r="U52" s="248"/>
      <c r="Y52" s="64"/>
    </row>
    <row r="53" spans="1:25" s="7" customFormat="1" ht="30.75" thickBot="1" x14ac:dyDescent="0.3">
      <c r="B53" s="302"/>
      <c r="C53" s="302"/>
      <c r="D53" s="302"/>
      <c r="E53" s="348"/>
      <c r="F53" s="348"/>
      <c r="G53" s="111" t="s">
        <v>95</v>
      </c>
      <c r="H53" s="105">
        <f>24*160</f>
        <v>3840</v>
      </c>
      <c r="I53" s="166">
        <v>240</v>
      </c>
      <c r="J53" s="162">
        <f t="shared" si="0"/>
        <v>921600</v>
      </c>
      <c r="K53" s="166">
        <f t="shared" si="2"/>
        <v>230400</v>
      </c>
      <c r="L53" s="166">
        <f t="shared" si="3"/>
        <v>230400</v>
      </c>
      <c r="M53" s="166">
        <f t="shared" si="4"/>
        <v>230400</v>
      </c>
      <c r="N53" s="166">
        <f t="shared" si="5"/>
        <v>230400</v>
      </c>
      <c r="O53" s="232" t="s">
        <v>34</v>
      </c>
      <c r="P53" s="248">
        <v>98</v>
      </c>
      <c r="Q53" s="248">
        <v>2071</v>
      </c>
      <c r="R53" s="248">
        <v>3</v>
      </c>
      <c r="S53" s="248">
        <v>7</v>
      </c>
      <c r="T53" s="248">
        <v>1</v>
      </c>
      <c r="U53" s="248">
        <v>2</v>
      </c>
      <c r="V53" s="215"/>
    </row>
    <row r="54" spans="1:25" s="7" customFormat="1" ht="35.1" customHeight="1" thickBot="1" x14ac:dyDescent="0.3">
      <c r="B54" s="302"/>
      <c r="C54" s="302"/>
      <c r="D54" s="302"/>
      <c r="E54" s="348"/>
      <c r="F54" s="348"/>
      <c r="G54" s="110" t="s">
        <v>96</v>
      </c>
      <c r="H54" s="248">
        <v>4500</v>
      </c>
      <c r="I54" s="166">
        <v>30</v>
      </c>
      <c r="J54" s="162">
        <f t="shared" si="0"/>
        <v>135000</v>
      </c>
      <c r="K54" s="166">
        <f t="shared" si="2"/>
        <v>33750</v>
      </c>
      <c r="L54" s="166">
        <f t="shared" si="3"/>
        <v>33750</v>
      </c>
      <c r="M54" s="166">
        <f t="shared" si="4"/>
        <v>33750</v>
      </c>
      <c r="N54" s="166">
        <f t="shared" si="5"/>
        <v>33750</v>
      </c>
      <c r="O54" s="232" t="s">
        <v>34</v>
      </c>
      <c r="P54" s="248">
        <v>98</v>
      </c>
      <c r="Q54" s="248">
        <v>2071</v>
      </c>
      <c r="R54" s="248">
        <v>2</v>
      </c>
      <c r="S54" s="248">
        <v>2</v>
      </c>
      <c r="T54" s="248">
        <v>2</v>
      </c>
      <c r="U54" s="248"/>
    </row>
    <row r="55" spans="1:25" s="7" customFormat="1" ht="35.1" customHeight="1" thickBot="1" x14ac:dyDescent="0.3">
      <c r="B55" s="302"/>
      <c r="C55" s="302"/>
      <c r="D55" s="302"/>
      <c r="E55" s="348"/>
      <c r="F55" s="348"/>
      <c r="G55" s="110" t="s">
        <v>98</v>
      </c>
      <c r="H55" s="248">
        <v>20</v>
      </c>
      <c r="I55" s="166">
        <v>100.42</v>
      </c>
      <c r="J55" s="162">
        <f t="shared" si="0"/>
        <v>2008.4</v>
      </c>
      <c r="K55" s="166">
        <f t="shared" si="2"/>
        <v>502.1</v>
      </c>
      <c r="L55" s="166">
        <f t="shared" si="3"/>
        <v>502.1</v>
      </c>
      <c r="M55" s="166">
        <f t="shared" si="4"/>
        <v>502.1</v>
      </c>
      <c r="N55" s="166">
        <f t="shared" si="5"/>
        <v>502.1</v>
      </c>
      <c r="O55" s="232" t="s">
        <v>34</v>
      </c>
      <c r="P55" s="248">
        <v>98</v>
      </c>
      <c r="Q55" s="248">
        <v>2071</v>
      </c>
      <c r="R55" s="248">
        <v>3</v>
      </c>
      <c r="S55" s="248">
        <v>9</v>
      </c>
      <c r="T55" s="248">
        <v>2</v>
      </c>
      <c r="U55" s="248"/>
    </row>
    <row r="56" spans="1:25" s="7" customFormat="1" ht="37.5" customHeight="1" thickBot="1" x14ac:dyDescent="0.3">
      <c r="B56" s="232" t="s">
        <v>79</v>
      </c>
      <c r="C56" s="232" t="s">
        <v>80</v>
      </c>
      <c r="D56" s="232">
        <v>6</v>
      </c>
      <c r="E56" s="299" t="s">
        <v>101</v>
      </c>
      <c r="F56" s="299"/>
      <c r="G56" s="110" t="s">
        <v>102</v>
      </c>
      <c r="H56" s="103">
        <v>20</v>
      </c>
      <c r="I56" s="167">
        <v>228</v>
      </c>
      <c r="J56" s="162">
        <f t="shared" si="0"/>
        <v>4560</v>
      </c>
      <c r="K56" s="167">
        <f t="shared" si="2"/>
        <v>1140</v>
      </c>
      <c r="L56" s="167">
        <f t="shared" si="3"/>
        <v>1140</v>
      </c>
      <c r="M56" s="167">
        <f t="shared" si="4"/>
        <v>1140</v>
      </c>
      <c r="N56" s="167">
        <f t="shared" si="5"/>
        <v>1140</v>
      </c>
      <c r="O56" s="232" t="s">
        <v>34</v>
      </c>
      <c r="P56" s="248">
        <v>98</v>
      </c>
      <c r="Q56" s="248">
        <v>2071</v>
      </c>
      <c r="R56" s="248">
        <v>3</v>
      </c>
      <c r="S56" s="248">
        <v>3</v>
      </c>
      <c r="T56" s="248">
        <v>1</v>
      </c>
      <c r="U56" s="248"/>
    </row>
    <row r="57" spans="1:25" s="7" customFormat="1" ht="15.75" thickBot="1" x14ac:dyDescent="0.3">
      <c r="A57" s="9"/>
      <c r="B57" s="302" t="s">
        <v>79</v>
      </c>
      <c r="C57" s="302" t="s">
        <v>80</v>
      </c>
      <c r="D57" s="302">
        <v>6</v>
      </c>
      <c r="E57" s="330" t="s">
        <v>89</v>
      </c>
      <c r="F57" s="324"/>
      <c r="G57" s="110" t="s">
        <v>103</v>
      </c>
      <c r="H57" s="232">
        <v>20</v>
      </c>
      <c r="I57" s="162">
        <v>1625</v>
      </c>
      <c r="J57" s="162">
        <f t="shared" si="0"/>
        <v>32500</v>
      </c>
      <c r="K57" s="110">
        <f t="shared" si="2"/>
        <v>8125</v>
      </c>
      <c r="L57" s="110">
        <v>8125</v>
      </c>
      <c r="M57" s="110">
        <v>8125</v>
      </c>
      <c r="N57" s="110">
        <v>8125</v>
      </c>
      <c r="O57" s="232" t="s">
        <v>34</v>
      </c>
      <c r="P57" s="248">
        <v>98</v>
      </c>
      <c r="Q57" s="248">
        <v>2071</v>
      </c>
      <c r="R57" s="248">
        <v>2</v>
      </c>
      <c r="S57" s="248">
        <v>3</v>
      </c>
      <c r="T57" s="248">
        <v>1</v>
      </c>
      <c r="U57" s="248"/>
    </row>
    <row r="58" spans="1:25" s="7" customFormat="1" ht="30.75" thickBot="1" x14ac:dyDescent="0.3">
      <c r="B58" s="302"/>
      <c r="C58" s="302"/>
      <c r="D58" s="302"/>
      <c r="E58" s="324"/>
      <c r="F58" s="324"/>
      <c r="G58" s="112" t="s">
        <v>91</v>
      </c>
      <c r="H58" s="233">
        <v>600</v>
      </c>
      <c r="I58" s="168">
        <v>240</v>
      </c>
      <c r="J58" s="162">
        <f t="shared" si="0"/>
        <v>144000</v>
      </c>
      <c r="K58" s="169">
        <f>144000/4</f>
        <v>36000</v>
      </c>
      <c r="L58" s="169">
        <v>36000</v>
      </c>
      <c r="M58" s="169">
        <v>36000</v>
      </c>
      <c r="N58" s="169">
        <v>36000</v>
      </c>
      <c r="O58" s="232" t="s">
        <v>34</v>
      </c>
      <c r="P58" s="248">
        <v>98</v>
      </c>
      <c r="Q58" s="248">
        <v>2071</v>
      </c>
      <c r="R58" s="248">
        <v>3</v>
      </c>
      <c r="S58" s="248">
        <v>7</v>
      </c>
      <c r="T58" s="248">
        <v>1</v>
      </c>
      <c r="U58" s="248">
        <v>2</v>
      </c>
    </row>
    <row r="59" spans="1:25" s="7" customFormat="1" ht="15.75" thickBot="1" x14ac:dyDescent="0.3">
      <c r="B59" s="302"/>
      <c r="C59" s="302"/>
      <c r="D59" s="302"/>
      <c r="E59" s="324"/>
      <c r="F59" s="324"/>
      <c r="G59" s="112" t="s">
        <v>94</v>
      </c>
      <c r="H59" s="104">
        <v>15</v>
      </c>
      <c r="I59" s="170">
        <v>40</v>
      </c>
      <c r="J59" s="162">
        <f t="shared" si="0"/>
        <v>600</v>
      </c>
      <c r="K59" s="112">
        <f>+I59*H59/4</f>
        <v>150</v>
      </c>
      <c r="L59" s="112">
        <v>150</v>
      </c>
      <c r="M59" s="112">
        <v>150</v>
      </c>
      <c r="N59" s="112">
        <v>150</v>
      </c>
      <c r="O59" s="232" t="s">
        <v>34</v>
      </c>
      <c r="P59" s="248">
        <v>98</v>
      </c>
      <c r="Q59" s="248">
        <v>2071</v>
      </c>
      <c r="R59" s="248">
        <v>2</v>
      </c>
      <c r="S59" s="248">
        <v>4</v>
      </c>
      <c r="T59" s="248">
        <v>4</v>
      </c>
      <c r="U59" s="248"/>
    </row>
    <row r="60" spans="1:25" s="7" customFormat="1" x14ac:dyDescent="0.25">
      <c r="J60" s="64"/>
    </row>
    <row r="61" spans="1:25" s="7" customFormat="1" x14ac:dyDescent="0.25"/>
    <row r="62" spans="1:25" s="7" customFormat="1" x14ac:dyDescent="0.25">
      <c r="B62" s="66"/>
      <c r="C62" s="66"/>
      <c r="D62" s="66"/>
      <c r="E62" s="66"/>
      <c r="F62" s="66"/>
      <c r="G62" s="66"/>
      <c r="H62" s="67"/>
      <c r="I62" s="67"/>
      <c r="J62" s="68"/>
      <c r="K62" s="67"/>
      <c r="L62" s="67"/>
      <c r="M62" s="67"/>
      <c r="N62" s="69"/>
      <c r="O62" s="69"/>
      <c r="P62" s="69"/>
      <c r="Q62" s="69"/>
      <c r="R62" s="69"/>
      <c r="S62" s="69"/>
      <c r="T62" s="69"/>
      <c r="U62" s="70"/>
    </row>
    <row r="63" spans="1:25" s="7" customFormat="1" x14ac:dyDescent="0.25">
      <c r="B63" s="66"/>
      <c r="C63" s="66"/>
      <c r="D63" s="66"/>
      <c r="E63" s="66"/>
      <c r="F63" s="66"/>
      <c r="G63" s="66"/>
      <c r="H63" s="67"/>
      <c r="I63" s="67"/>
      <c r="J63" s="68"/>
      <c r="K63" s="67"/>
      <c r="L63" s="67"/>
      <c r="M63" s="67"/>
      <c r="N63" s="69"/>
      <c r="O63" s="69"/>
      <c r="P63" s="69"/>
      <c r="Q63" s="69"/>
      <c r="R63" s="69"/>
      <c r="S63" s="69"/>
      <c r="T63" s="69"/>
      <c r="U63" s="70"/>
    </row>
    <row r="64" spans="1:25" s="7" customFormat="1" ht="18" thickBot="1" x14ac:dyDescent="0.35">
      <c r="B64" s="295" t="s">
        <v>77</v>
      </c>
      <c r="C64" s="295"/>
      <c r="D64" s="295"/>
      <c r="E64" s="295"/>
      <c r="F64" s="295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</row>
    <row r="65" spans="2:25" s="7" customFormat="1" ht="15.75" customHeight="1" thickTop="1" thickBot="1" x14ac:dyDescent="0.3">
      <c r="B65" s="296" t="s">
        <v>0</v>
      </c>
      <c r="C65" s="296"/>
      <c r="D65" s="296"/>
      <c r="E65" s="296" t="s">
        <v>1</v>
      </c>
      <c r="F65" s="296" t="s">
        <v>2</v>
      </c>
      <c r="G65" s="319" t="s">
        <v>3</v>
      </c>
      <c r="H65" s="319" t="s">
        <v>4</v>
      </c>
      <c r="I65" s="319" t="s">
        <v>5</v>
      </c>
      <c r="J65" s="319" t="s">
        <v>6</v>
      </c>
      <c r="K65" s="319" t="s">
        <v>7</v>
      </c>
      <c r="L65" s="319"/>
      <c r="M65" s="319"/>
      <c r="N65" s="319"/>
      <c r="O65" s="296" t="s">
        <v>8</v>
      </c>
      <c r="P65" s="296" t="s">
        <v>9</v>
      </c>
      <c r="Q65" s="296"/>
      <c r="R65" s="296"/>
      <c r="S65" s="296"/>
      <c r="T65" s="296"/>
      <c r="U65" s="296"/>
    </row>
    <row r="66" spans="2:25" s="7" customFormat="1" ht="57.75" customHeight="1" thickTop="1" thickBot="1" x14ac:dyDescent="0.3">
      <c r="B66" s="234" t="s">
        <v>10</v>
      </c>
      <c r="C66" s="234" t="s">
        <v>11</v>
      </c>
      <c r="D66" s="234" t="s">
        <v>12</v>
      </c>
      <c r="E66" s="296"/>
      <c r="F66" s="296"/>
      <c r="G66" s="319"/>
      <c r="H66" s="319"/>
      <c r="I66" s="319"/>
      <c r="J66" s="319"/>
      <c r="K66" s="12" t="s">
        <v>13</v>
      </c>
      <c r="L66" s="12" t="s">
        <v>14</v>
      </c>
      <c r="M66" s="12" t="s">
        <v>116</v>
      </c>
      <c r="N66" s="12" t="s">
        <v>15</v>
      </c>
      <c r="O66" s="296"/>
      <c r="P66" s="296"/>
      <c r="Q66" s="296"/>
      <c r="R66" s="296"/>
      <c r="S66" s="296"/>
      <c r="T66" s="296"/>
      <c r="U66" s="296"/>
    </row>
    <row r="67" spans="2:25" s="7" customFormat="1" ht="255.75" customHeight="1" thickTop="1" thickBot="1" x14ac:dyDescent="0.3">
      <c r="B67" s="116" t="s">
        <v>79</v>
      </c>
      <c r="C67" s="116" t="s">
        <v>105</v>
      </c>
      <c r="D67" s="71">
        <v>6</v>
      </c>
      <c r="E67" s="115" t="s">
        <v>104</v>
      </c>
      <c r="F67" s="72" t="s">
        <v>39</v>
      </c>
      <c r="G67" s="71" t="s">
        <v>40</v>
      </c>
      <c r="H67" s="71" t="s">
        <v>18</v>
      </c>
      <c r="I67" s="73">
        <v>408</v>
      </c>
      <c r="J67" s="71">
        <f>711+15</f>
        <v>726</v>
      </c>
      <c r="K67" s="71">
        <v>508</v>
      </c>
      <c r="L67" s="71">
        <v>508</v>
      </c>
      <c r="M67" s="71">
        <v>726</v>
      </c>
      <c r="N67" s="71">
        <v>711</v>
      </c>
      <c r="O67" s="114">
        <f>SUM(J72:J80)</f>
        <v>32154860</v>
      </c>
      <c r="P67" s="343" t="s">
        <v>232</v>
      </c>
      <c r="Q67" s="344"/>
      <c r="R67" s="344"/>
      <c r="S67" s="344"/>
      <c r="T67" s="344"/>
      <c r="U67" s="345"/>
    </row>
    <row r="68" spans="2:25" s="121" customFormat="1" x14ac:dyDescent="0.25">
      <c r="B68" s="117"/>
      <c r="C68" s="117"/>
      <c r="D68" s="117"/>
      <c r="E68" s="118"/>
      <c r="F68" s="119"/>
      <c r="G68" s="117"/>
      <c r="H68" s="117"/>
      <c r="I68" s="120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</row>
    <row r="69" spans="2:25" s="7" customFormat="1" ht="18" thickBot="1" x14ac:dyDescent="0.35">
      <c r="B69" s="295" t="s">
        <v>78</v>
      </c>
      <c r="C69" s="295"/>
      <c r="D69" s="295"/>
      <c r="E69" s="295"/>
      <c r="F69" s="295"/>
      <c r="G69" s="48"/>
      <c r="H69" s="48"/>
      <c r="I69" s="48"/>
      <c r="J69" s="48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</row>
    <row r="70" spans="2:25" s="7" customFormat="1" ht="18" customHeight="1" thickTop="1" thickBot="1" x14ac:dyDescent="0.3">
      <c r="B70" s="296" t="s">
        <v>0</v>
      </c>
      <c r="C70" s="296"/>
      <c r="D70" s="296"/>
      <c r="E70" s="296" t="s">
        <v>19</v>
      </c>
      <c r="F70" s="296"/>
      <c r="G70" s="319" t="s">
        <v>20</v>
      </c>
      <c r="H70" s="319"/>
      <c r="I70" s="319"/>
      <c r="J70" s="319"/>
      <c r="K70" s="319" t="s">
        <v>21</v>
      </c>
      <c r="L70" s="319"/>
      <c r="M70" s="319"/>
      <c r="N70" s="319"/>
      <c r="O70" s="296" t="s">
        <v>22</v>
      </c>
      <c r="P70" s="319" t="s">
        <v>23</v>
      </c>
      <c r="Q70" s="319"/>
      <c r="R70" s="319"/>
      <c r="S70" s="319"/>
      <c r="T70" s="319"/>
      <c r="U70" s="319"/>
    </row>
    <row r="71" spans="2:25" s="7" customFormat="1" ht="57" customHeight="1" thickTop="1" thickBot="1" x14ac:dyDescent="0.3">
      <c r="B71" s="237" t="s">
        <v>10</v>
      </c>
      <c r="C71" s="237" t="s">
        <v>11</v>
      </c>
      <c r="D71" s="237" t="s">
        <v>12</v>
      </c>
      <c r="E71" s="341"/>
      <c r="F71" s="341"/>
      <c r="G71" s="125" t="s">
        <v>41</v>
      </c>
      <c r="H71" s="125" t="s">
        <v>24</v>
      </c>
      <c r="I71" s="125" t="s">
        <v>25</v>
      </c>
      <c r="J71" s="125" t="s">
        <v>26</v>
      </c>
      <c r="K71" s="125" t="s">
        <v>13</v>
      </c>
      <c r="L71" s="125" t="s">
        <v>14</v>
      </c>
      <c r="M71" s="125" t="s">
        <v>116</v>
      </c>
      <c r="N71" s="125" t="s">
        <v>15</v>
      </c>
      <c r="O71" s="341"/>
      <c r="P71" s="126" t="s">
        <v>27</v>
      </c>
      <c r="Q71" s="126" t="s">
        <v>28</v>
      </c>
      <c r="R71" s="126" t="s">
        <v>29</v>
      </c>
      <c r="S71" s="126" t="s">
        <v>30</v>
      </c>
      <c r="T71" s="126" t="s">
        <v>31</v>
      </c>
      <c r="U71" s="126" t="s">
        <v>32</v>
      </c>
    </row>
    <row r="72" spans="2:25" s="7" customFormat="1" ht="66.75" customHeight="1" thickTop="1" thickBot="1" x14ac:dyDescent="0.3">
      <c r="B72" s="122" t="s">
        <v>79</v>
      </c>
      <c r="C72" s="122" t="s">
        <v>80</v>
      </c>
      <c r="D72" s="122">
        <v>6</v>
      </c>
      <c r="E72" s="298" t="s">
        <v>110</v>
      </c>
      <c r="F72" s="298"/>
      <c r="G72" s="245" t="s">
        <v>265</v>
      </c>
      <c r="H72" s="122">
        <v>508</v>
      </c>
      <c r="I72" s="128">
        <f>4000*6</f>
        <v>24000</v>
      </c>
      <c r="J72" s="220">
        <f>+H72*I72</f>
        <v>12192000</v>
      </c>
      <c r="K72" s="127">
        <f>+J72/2</f>
        <v>6096000</v>
      </c>
      <c r="L72" s="127">
        <f>+K72</f>
        <v>6096000</v>
      </c>
      <c r="M72" s="127">
        <v>0</v>
      </c>
      <c r="N72" s="127">
        <v>0</v>
      </c>
      <c r="O72" s="122" t="s">
        <v>42</v>
      </c>
      <c r="P72" s="248">
        <v>98</v>
      </c>
      <c r="Q72" s="248">
        <v>2071</v>
      </c>
      <c r="R72" s="248">
        <v>4</v>
      </c>
      <c r="S72" s="248">
        <v>1</v>
      </c>
      <c r="T72" s="248">
        <v>4</v>
      </c>
      <c r="U72" s="248">
        <v>1</v>
      </c>
    </row>
    <row r="73" spans="2:25" s="7" customFormat="1" ht="50.25" customHeight="1" thickBot="1" x14ac:dyDescent="0.3">
      <c r="B73" s="232" t="s">
        <v>79</v>
      </c>
      <c r="C73" s="232" t="s">
        <v>80</v>
      </c>
      <c r="D73" s="232">
        <v>6</v>
      </c>
      <c r="E73" s="299" t="s">
        <v>111</v>
      </c>
      <c r="F73" s="299"/>
      <c r="G73" s="77" t="s">
        <v>266</v>
      </c>
      <c r="H73" s="232">
        <v>711</v>
      </c>
      <c r="I73" s="96">
        <f>4000*6</f>
        <v>24000</v>
      </c>
      <c r="J73" s="159">
        <f>+H73*I73</f>
        <v>17064000</v>
      </c>
      <c r="K73" s="97">
        <v>0</v>
      </c>
      <c r="L73" s="97">
        <v>0</v>
      </c>
      <c r="M73" s="97">
        <f>+J73/2</f>
        <v>8532000</v>
      </c>
      <c r="N73" s="97">
        <f>+M73</f>
        <v>8532000</v>
      </c>
      <c r="O73" s="232" t="s">
        <v>42</v>
      </c>
      <c r="P73" s="248">
        <v>98</v>
      </c>
      <c r="Q73" s="248">
        <v>2071</v>
      </c>
      <c r="R73" s="248">
        <v>4</v>
      </c>
      <c r="S73" s="248">
        <v>1</v>
      </c>
      <c r="T73" s="248">
        <v>4</v>
      </c>
      <c r="U73" s="248">
        <v>1</v>
      </c>
      <c r="X73" s="7" t="s">
        <v>37</v>
      </c>
      <c r="Y73" s="64">
        <f>+J72+J73+J74+J75</f>
        <v>31104600</v>
      </c>
    </row>
    <row r="74" spans="2:25" s="7" customFormat="1" ht="28.5" customHeight="1" thickBot="1" x14ac:dyDescent="0.3">
      <c r="B74" s="302" t="s">
        <v>79</v>
      </c>
      <c r="C74" s="302" t="s">
        <v>80</v>
      </c>
      <c r="D74" s="302">
        <v>6</v>
      </c>
      <c r="E74" s="299" t="s">
        <v>108</v>
      </c>
      <c r="F74" s="299"/>
      <c r="G74" s="130" t="s">
        <v>256</v>
      </c>
      <c r="H74" s="104">
        <v>711</v>
      </c>
      <c r="I74" s="107">
        <v>500</v>
      </c>
      <c r="J74" s="159">
        <f t="shared" ref="J74:J80" si="6">SUM(K74:N74)</f>
        <v>355500</v>
      </c>
      <c r="K74" s="52">
        <f>+I74*H74/4</f>
        <v>88875</v>
      </c>
      <c r="L74" s="52">
        <v>88875</v>
      </c>
      <c r="M74" s="52">
        <v>88875</v>
      </c>
      <c r="N74" s="52">
        <v>88875</v>
      </c>
      <c r="O74" s="104" t="s">
        <v>34</v>
      </c>
      <c r="P74" s="248">
        <v>98</v>
      </c>
      <c r="Q74" s="248">
        <v>2071</v>
      </c>
      <c r="R74" s="248">
        <v>3</v>
      </c>
      <c r="S74" s="248">
        <v>2</v>
      </c>
      <c r="T74" s="248">
        <v>2</v>
      </c>
      <c r="U74" s="248"/>
      <c r="Y74" s="64" t="e">
        <f>+Y73-#REF!</f>
        <v>#REF!</v>
      </c>
    </row>
    <row r="75" spans="2:25" s="7" customFormat="1" ht="48.75" customHeight="1" thickBot="1" x14ac:dyDescent="0.3">
      <c r="B75" s="302"/>
      <c r="C75" s="302"/>
      <c r="D75" s="302"/>
      <c r="E75" s="299"/>
      <c r="F75" s="299"/>
      <c r="G75" s="130" t="s">
        <v>267</v>
      </c>
      <c r="H75" s="104">
        <v>711</v>
      </c>
      <c r="I75" s="107">
        <v>2100</v>
      </c>
      <c r="J75" s="159">
        <f t="shared" si="6"/>
        <v>1493100</v>
      </c>
      <c r="K75" s="52">
        <f>+I75*H75/4</f>
        <v>373275</v>
      </c>
      <c r="L75" s="52">
        <f>+K75</f>
        <v>373275</v>
      </c>
      <c r="M75" s="52">
        <f>+L75</f>
        <v>373275</v>
      </c>
      <c r="N75" s="52">
        <f>+M75</f>
        <v>373275</v>
      </c>
      <c r="O75" s="104" t="s">
        <v>34</v>
      </c>
      <c r="P75" s="248">
        <v>98</v>
      </c>
      <c r="Q75" s="248">
        <v>2071</v>
      </c>
      <c r="R75" s="248">
        <v>3</v>
      </c>
      <c r="S75" s="248">
        <v>2</v>
      </c>
      <c r="T75" s="248">
        <v>3</v>
      </c>
      <c r="U75" s="248"/>
    </row>
    <row r="76" spans="2:25" s="7" customFormat="1" ht="78.75" customHeight="1" thickBot="1" x14ac:dyDescent="0.3">
      <c r="B76" s="301" t="s">
        <v>79</v>
      </c>
      <c r="C76" s="301" t="s">
        <v>80</v>
      </c>
      <c r="D76" s="300">
        <v>6</v>
      </c>
      <c r="E76" s="299" t="s">
        <v>109</v>
      </c>
      <c r="F76" s="299"/>
      <c r="G76" s="77" t="s">
        <v>268</v>
      </c>
      <c r="H76" s="232">
        <v>1</v>
      </c>
      <c r="I76" s="96">
        <v>300000</v>
      </c>
      <c r="J76" s="159">
        <f t="shared" si="6"/>
        <v>300000</v>
      </c>
      <c r="K76" s="97">
        <v>0</v>
      </c>
      <c r="L76" s="97">
        <f>+I76*H76</f>
        <v>300000</v>
      </c>
      <c r="M76" s="97">
        <v>0</v>
      </c>
      <c r="N76" s="97">
        <v>0</v>
      </c>
      <c r="O76" s="232" t="s">
        <v>42</v>
      </c>
      <c r="P76" s="248">
        <v>98</v>
      </c>
      <c r="Q76" s="248">
        <v>2071</v>
      </c>
      <c r="R76" s="248">
        <v>2</v>
      </c>
      <c r="S76" s="248">
        <v>8</v>
      </c>
      <c r="T76" s="248">
        <v>6</v>
      </c>
      <c r="U76" s="248">
        <v>1</v>
      </c>
    </row>
    <row r="77" spans="2:25" s="7" customFormat="1" ht="15.75" thickBot="1" x14ac:dyDescent="0.3">
      <c r="B77" s="301"/>
      <c r="C77" s="301"/>
      <c r="D77" s="300"/>
      <c r="E77" s="299"/>
      <c r="F77" s="299"/>
      <c r="G77" s="77" t="s">
        <v>257</v>
      </c>
      <c r="H77" s="232">
        <v>15</v>
      </c>
      <c r="I77" s="96">
        <f>334500/15</f>
        <v>22300</v>
      </c>
      <c r="J77" s="159">
        <f t="shared" si="6"/>
        <v>334500</v>
      </c>
      <c r="K77" s="97">
        <v>0</v>
      </c>
      <c r="L77" s="97">
        <f>+I77*H77</f>
        <v>334500</v>
      </c>
      <c r="M77" s="97">
        <v>0</v>
      </c>
      <c r="N77" s="97">
        <v>0</v>
      </c>
      <c r="O77" s="232" t="s">
        <v>42</v>
      </c>
      <c r="P77" s="248">
        <v>98</v>
      </c>
      <c r="Q77" s="248">
        <v>2071</v>
      </c>
      <c r="R77" s="248">
        <v>6</v>
      </c>
      <c r="S77" s="248">
        <v>1</v>
      </c>
      <c r="T77" s="248">
        <v>4</v>
      </c>
      <c r="U77" s="248"/>
    </row>
    <row r="78" spans="2:25" s="7" customFormat="1" ht="15.75" thickBot="1" x14ac:dyDescent="0.3">
      <c r="B78" s="301"/>
      <c r="C78" s="301"/>
      <c r="D78" s="300"/>
      <c r="E78" s="299"/>
      <c r="F78" s="299"/>
      <c r="G78" s="77" t="s">
        <v>106</v>
      </c>
      <c r="H78" s="232">
        <v>3</v>
      </c>
      <c r="I78" s="96">
        <v>36666.67</v>
      </c>
      <c r="J78" s="159">
        <v>110000</v>
      </c>
      <c r="K78" s="97"/>
      <c r="L78" s="97">
        <f>+I78*H78</f>
        <v>110000.01</v>
      </c>
      <c r="M78" s="97"/>
      <c r="N78" s="97"/>
      <c r="O78" s="232" t="s">
        <v>42</v>
      </c>
      <c r="P78" s="248">
        <v>98</v>
      </c>
      <c r="Q78" s="248">
        <v>2071</v>
      </c>
      <c r="R78" s="248">
        <v>3</v>
      </c>
      <c r="S78" s="248">
        <v>6</v>
      </c>
      <c r="T78" s="248">
        <v>3</v>
      </c>
      <c r="U78" s="248">
        <v>6</v>
      </c>
    </row>
    <row r="79" spans="2:25" s="7" customFormat="1" ht="15.75" thickBot="1" x14ac:dyDescent="0.3">
      <c r="B79" s="301"/>
      <c r="C79" s="301"/>
      <c r="D79" s="300"/>
      <c r="E79" s="299"/>
      <c r="F79" s="299"/>
      <c r="G79" s="93" t="s">
        <v>258</v>
      </c>
      <c r="H79" s="248">
        <v>24</v>
      </c>
      <c r="I79" s="96">
        <v>240</v>
      </c>
      <c r="J79" s="159">
        <f t="shared" si="6"/>
        <v>5760</v>
      </c>
      <c r="K79" s="97"/>
      <c r="L79" s="97">
        <f>+I79*H79</f>
        <v>5760</v>
      </c>
      <c r="M79" s="97"/>
      <c r="N79" s="97"/>
      <c r="O79" s="232" t="s">
        <v>42</v>
      </c>
      <c r="P79" s="248">
        <v>98</v>
      </c>
      <c r="Q79" s="248">
        <v>2071</v>
      </c>
      <c r="R79" s="248">
        <v>3</v>
      </c>
      <c r="S79" s="248">
        <v>7</v>
      </c>
      <c r="T79" s="248">
        <v>1</v>
      </c>
      <c r="U79" s="248">
        <v>2</v>
      </c>
    </row>
    <row r="80" spans="2:25" s="7" customFormat="1" ht="30.75" thickBot="1" x14ac:dyDescent="0.3">
      <c r="B80" s="301"/>
      <c r="C80" s="301"/>
      <c r="D80" s="300"/>
      <c r="E80" s="299"/>
      <c r="F80" s="299"/>
      <c r="G80" s="93" t="s">
        <v>249</v>
      </c>
      <c r="H80" s="123">
        <v>1</v>
      </c>
      <c r="I80" s="96">
        <v>300000</v>
      </c>
      <c r="J80" s="106">
        <f t="shared" si="6"/>
        <v>300000</v>
      </c>
      <c r="K80" s="97"/>
      <c r="L80" s="97">
        <f>+I80*H80</f>
        <v>300000</v>
      </c>
      <c r="M80" s="97"/>
      <c r="N80" s="97"/>
      <c r="O80" s="232" t="s">
        <v>42</v>
      </c>
      <c r="P80" s="248">
        <v>98</v>
      </c>
      <c r="Q80" s="248">
        <v>2071</v>
      </c>
      <c r="R80" s="104">
        <v>2</v>
      </c>
      <c r="S80" s="104">
        <v>8</v>
      </c>
      <c r="T80" s="104">
        <v>6</v>
      </c>
      <c r="U80" s="104">
        <v>4</v>
      </c>
    </row>
    <row r="81" spans="2:21" s="7" customFormat="1" x14ac:dyDescent="0.25">
      <c r="B81" s="66"/>
      <c r="C81" s="66"/>
      <c r="D81" s="66"/>
      <c r="E81" s="66"/>
      <c r="F81" s="66"/>
      <c r="G81" s="66"/>
      <c r="H81" s="67"/>
      <c r="I81" s="67"/>
      <c r="J81" s="68"/>
      <c r="K81" s="67"/>
      <c r="L81" s="67"/>
      <c r="M81" s="67"/>
      <c r="N81" s="69"/>
      <c r="O81" s="69"/>
      <c r="P81" s="69"/>
      <c r="Q81" s="69"/>
      <c r="R81" s="69"/>
      <c r="S81" s="69"/>
      <c r="T81" s="69"/>
      <c r="U81" s="70"/>
    </row>
    <row r="82" spans="2:21" s="7" customFormat="1" x14ac:dyDescent="0.25">
      <c r="B82" s="66"/>
      <c r="C82" s="66"/>
      <c r="D82" s="66"/>
      <c r="E82" s="66"/>
      <c r="F82" s="66"/>
      <c r="G82" s="66"/>
      <c r="H82" s="67"/>
      <c r="I82" s="67"/>
      <c r="J82" s="68"/>
      <c r="K82" s="67"/>
      <c r="L82" s="67"/>
      <c r="M82" s="67"/>
      <c r="N82" s="69"/>
      <c r="O82" s="69"/>
      <c r="P82" s="69"/>
      <c r="Q82" s="69"/>
      <c r="R82" s="69"/>
      <c r="S82" s="69"/>
      <c r="T82" s="69"/>
      <c r="U82" s="70"/>
    </row>
    <row r="83" spans="2:21" s="7" customFormat="1" x14ac:dyDescent="0.25"/>
    <row r="84" spans="2:21" s="7" customFormat="1" x14ac:dyDescent="0.25"/>
    <row r="85" spans="2:21" s="7" customFormat="1" ht="22.5" customHeight="1" thickBot="1" x14ac:dyDescent="0.35">
      <c r="B85" s="295" t="s">
        <v>77</v>
      </c>
      <c r="C85" s="295"/>
      <c r="D85" s="295"/>
      <c r="E85" s="295"/>
      <c r="F85" s="295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</row>
    <row r="86" spans="2:21" s="7" customFormat="1" ht="23.25" customHeight="1" thickTop="1" thickBot="1" x14ac:dyDescent="0.3">
      <c r="B86" s="339" t="s">
        <v>0</v>
      </c>
      <c r="C86" s="339"/>
      <c r="D86" s="339"/>
      <c r="E86" s="339" t="s">
        <v>1</v>
      </c>
      <c r="F86" s="339" t="s">
        <v>2</v>
      </c>
      <c r="G86" s="340" t="s">
        <v>3</v>
      </c>
      <c r="H86" s="340" t="s">
        <v>4</v>
      </c>
      <c r="I86" s="340" t="s">
        <v>5</v>
      </c>
      <c r="J86" s="340" t="s">
        <v>6</v>
      </c>
      <c r="K86" s="340" t="s">
        <v>7</v>
      </c>
      <c r="L86" s="340"/>
      <c r="M86" s="340"/>
      <c r="N86" s="340"/>
      <c r="O86" s="339" t="s">
        <v>8</v>
      </c>
      <c r="P86" s="339" t="s">
        <v>9</v>
      </c>
      <c r="Q86" s="339"/>
      <c r="R86" s="339"/>
      <c r="S86" s="339"/>
      <c r="T86" s="339"/>
      <c r="U86" s="339"/>
    </row>
    <row r="87" spans="2:21" s="7" customFormat="1" ht="34.5" customHeight="1" thickTop="1" thickBot="1" x14ac:dyDescent="0.3">
      <c r="B87" s="244" t="s">
        <v>10</v>
      </c>
      <c r="C87" s="244" t="s">
        <v>11</v>
      </c>
      <c r="D87" s="244" t="s">
        <v>12</v>
      </c>
      <c r="E87" s="339"/>
      <c r="F87" s="339"/>
      <c r="G87" s="340"/>
      <c r="H87" s="340"/>
      <c r="I87" s="340"/>
      <c r="J87" s="340"/>
      <c r="K87" s="74" t="s">
        <v>13</v>
      </c>
      <c r="L87" s="74" t="s">
        <v>14</v>
      </c>
      <c r="M87" s="74" t="s">
        <v>116</v>
      </c>
      <c r="N87" s="74" t="s">
        <v>15</v>
      </c>
      <c r="O87" s="339"/>
      <c r="P87" s="339"/>
      <c r="Q87" s="339"/>
      <c r="R87" s="339"/>
      <c r="S87" s="339"/>
      <c r="T87" s="339"/>
      <c r="U87" s="339"/>
    </row>
    <row r="88" spans="2:21" s="7" customFormat="1" ht="230.25" customHeight="1" thickTop="1" thickBot="1" x14ac:dyDescent="0.3">
      <c r="B88" s="235" t="s">
        <v>79</v>
      </c>
      <c r="C88" s="235" t="s">
        <v>80</v>
      </c>
      <c r="D88" s="235">
        <v>6</v>
      </c>
      <c r="E88" s="41" t="s">
        <v>112</v>
      </c>
      <c r="F88" s="239" t="s">
        <v>43</v>
      </c>
      <c r="G88" s="235" t="s">
        <v>44</v>
      </c>
      <c r="H88" s="235" t="s">
        <v>18</v>
      </c>
      <c r="I88" s="60">
        <v>505</v>
      </c>
      <c r="J88" s="235">
        <f>SUM(K88:N88)</f>
        <v>400</v>
      </c>
      <c r="K88" s="247">
        <v>0</v>
      </c>
      <c r="L88" s="247">
        <v>160</v>
      </c>
      <c r="M88" s="247">
        <v>120</v>
      </c>
      <c r="N88" s="45">
        <v>120</v>
      </c>
      <c r="O88" s="46">
        <f>SUM(J93:J94)</f>
        <v>14004560</v>
      </c>
      <c r="P88" s="316" t="s">
        <v>45</v>
      </c>
      <c r="Q88" s="317"/>
      <c r="R88" s="317"/>
      <c r="S88" s="317"/>
      <c r="T88" s="317"/>
      <c r="U88" s="318"/>
    </row>
    <row r="89" spans="2:21" s="7" customFormat="1" x14ac:dyDescent="0.25"/>
    <row r="90" spans="2:21" s="7" customFormat="1" ht="18" thickBot="1" x14ac:dyDescent="0.35">
      <c r="B90" s="295" t="s">
        <v>78</v>
      </c>
      <c r="C90" s="295"/>
      <c r="D90" s="295"/>
      <c r="E90" s="295"/>
      <c r="F90" s="295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</row>
    <row r="91" spans="2:21" s="7" customFormat="1" ht="15.75" customHeight="1" thickTop="1" thickBot="1" x14ac:dyDescent="0.3">
      <c r="B91" s="296" t="s">
        <v>0</v>
      </c>
      <c r="C91" s="296"/>
      <c r="D91" s="296"/>
      <c r="E91" s="296" t="s">
        <v>19</v>
      </c>
      <c r="F91" s="296"/>
      <c r="G91" s="319" t="s">
        <v>20</v>
      </c>
      <c r="H91" s="319"/>
      <c r="I91" s="319"/>
      <c r="J91" s="319"/>
      <c r="K91" s="319" t="s">
        <v>21</v>
      </c>
      <c r="L91" s="319"/>
      <c r="M91" s="319"/>
      <c r="N91" s="319"/>
      <c r="O91" s="296" t="s">
        <v>22</v>
      </c>
      <c r="P91" s="319" t="s">
        <v>23</v>
      </c>
      <c r="Q91" s="319"/>
      <c r="R91" s="319"/>
      <c r="S91" s="319"/>
      <c r="T91" s="319"/>
      <c r="U91" s="319"/>
    </row>
    <row r="92" spans="2:21" s="7" customFormat="1" ht="61.5" customHeight="1" thickTop="1" thickBot="1" x14ac:dyDescent="0.3">
      <c r="B92" s="234" t="s">
        <v>10</v>
      </c>
      <c r="C92" s="234" t="s">
        <v>11</v>
      </c>
      <c r="D92" s="234" t="s">
        <v>12</v>
      </c>
      <c r="E92" s="296"/>
      <c r="F92" s="296"/>
      <c r="G92" s="12" t="s">
        <v>36</v>
      </c>
      <c r="H92" s="12" t="s">
        <v>24</v>
      </c>
      <c r="I92" s="12" t="s">
        <v>25</v>
      </c>
      <c r="J92" s="12" t="s">
        <v>26</v>
      </c>
      <c r="K92" s="12" t="s">
        <v>13</v>
      </c>
      <c r="L92" s="12" t="s">
        <v>14</v>
      </c>
      <c r="M92" s="12" t="s">
        <v>116</v>
      </c>
      <c r="N92" s="12" t="s">
        <v>15</v>
      </c>
      <c r="O92" s="296"/>
      <c r="P92" s="13" t="s">
        <v>27</v>
      </c>
      <c r="Q92" s="13" t="s">
        <v>28</v>
      </c>
      <c r="R92" s="13" t="s">
        <v>29</v>
      </c>
      <c r="S92" s="13" t="s">
        <v>30</v>
      </c>
      <c r="T92" s="13" t="s">
        <v>31</v>
      </c>
      <c r="U92" s="13" t="s">
        <v>32</v>
      </c>
    </row>
    <row r="93" spans="2:21" s="7" customFormat="1" ht="36.75" customHeight="1" thickTop="1" thickBot="1" x14ac:dyDescent="0.3">
      <c r="B93" s="336" t="s">
        <v>79</v>
      </c>
      <c r="C93" s="336" t="s">
        <v>80</v>
      </c>
      <c r="D93" s="336">
        <v>6</v>
      </c>
      <c r="E93" s="335" t="s">
        <v>46</v>
      </c>
      <c r="F93" s="335"/>
      <c r="G93" s="201" t="s">
        <v>248</v>
      </c>
      <c r="H93" s="242">
        <v>20</v>
      </c>
      <c r="I93" s="135">
        <v>228</v>
      </c>
      <c r="J93" s="133">
        <f>+H93*I93</f>
        <v>4560</v>
      </c>
      <c r="K93" s="133">
        <v>0</v>
      </c>
      <c r="L93" s="133">
        <f>+J93/3</f>
        <v>1520</v>
      </c>
      <c r="M93" s="133">
        <f>+J93/3</f>
        <v>1520</v>
      </c>
      <c r="N93" s="133">
        <f>+J93/3</f>
        <v>1520</v>
      </c>
      <c r="O93" s="242" t="s">
        <v>34</v>
      </c>
      <c r="P93" s="242">
        <v>98</v>
      </c>
      <c r="Q93" s="183">
        <v>2071</v>
      </c>
      <c r="R93" s="181">
        <v>3</v>
      </c>
      <c r="S93" s="181">
        <v>3</v>
      </c>
      <c r="T93" s="181">
        <v>1</v>
      </c>
      <c r="U93" s="242"/>
    </row>
    <row r="94" spans="2:21" s="7" customFormat="1" ht="29.25" customHeight="1" thickTop="1" thickBot="1" x14ac:dyDescent="0.3">
      <c r="B94" s="337"/>
      <c r="C94" s="337"/>
      <c r="D94" s="337"/>
      <c r="E94" s="327"/>
      <c r="F94" s="327"/>
      <c r="G94" s="202" t="s">
        <v>251</v>
      </c>
      <c r="H94" s="243">
        <v>400</v>
      </c>
      <c r="I94" s="136">
        <v>35000</v>
      </c>
      <c r="J94" s="133">
        <f>+H94*I94</f>
        <v>14000000</v>
      </c>
      <c r="K94" s="134">
        <f>+I94*H94/4</f>
        <v>3500000</v>
      </c>
      <c r="L94" s="134">
        <f>+K94</f>
        <v>3500000</v>
      </c>
      <c r="M94" s="134">
        <f>+L94</f>
        <v>3500000</v>
      </c>
      <c r="N94" s="134">
        <f>+M94</f>
        <v>3500000</v>
      </c>
      <c r="O94" s="243" t="s">
        <v>34</v>
      </c>
      <c r="P94" s="243">
        <v>98</v>
      </c>
      <c r="Q94" s="184">
        <v>2071</v>
      </c>
      <c r="R94" s="123">
        <v>4</v>
      </c>
      <c r="S94" s="123">
        <v>1</v>
      </c>
      <c r="T94" s="123">
        <v>4</v>
      </c>
      <c r="U94" s="123">
        <v>1</v>
      </c>
    </row>
    <row r="95" spans="2:21" s="7" customFormat="1" x14ac:dyDescent="0.25"/>
    <row r="96" spans="2:21" s="7" customFormat="1" x14ac:dyDescent="0.25"/>
    <row r="97" spans="1:26" s="7" customFormat="1" x14ac:dyDescent="0.25"/>
    <row r="98" spans="1:26" s="7" customFormat="1" x14ac:dyDescent="0.25"/>
    <row r="99" spans="1:26" s="7" customFormat="1" ht="18" thickBot="1" x14ac:dyDescent="0.35">
      <c r="B99" s="338" t="s">
        <v>77</v>
      </c>
      <c r="C99" s="338"/>
      <c r="D99" s="338"/>
      <c r="E99" s="338"/>
      <c r="F99" s="338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185"/>
      <c r="R99" s="185"/>
      <c r="S99" s="185"/>
      <c r="T99" s="185"/>
      <c r="U99" s="185"/>
    </row>
    <row r="100" spans="1:26" s="7" customFormat="1" ht="15.75" customHeight="1" thickTop="1" thickBot="1" x14ac:dyDescent="0.3">
      <c r="B100" s="297" t="s">
        <v>0</v>
      </c>
      <c r="C100" s="297"/>
      <c r="D100" s="297"/>
      <c r="E100" s="297" t="s">
        <v>1</v>
      </c>
      <c r="F100" s="297" t="s">
        <v>2</v>
      </c>
      <c r="G100" s="331" t="s">
        <v>3</v>
      </c>
      <c r="H100" s="331" t="s">
        <v>4</v>
      </c>
      <c r="I100" s="331" t="s">
        <v>5</v>
      </c>
      <c r="J100" s="331" t="s">
        <v>6</v>
      </c>
      <c r="K100" s="331" t="s">
        <v>7</v>
      </c>
      <c r="L100" s="331"/>
      <c r="M100" s="331"/>
      <c r="N100" s="331"/>
      <c r="O100" s="297" t="s">
        <v>8</v>
      </c>
      <c r="P100" s="297" t="s">
        <v>9</v>
      </c>
      <c r="Q100" s="297"/>
      <c r="R100" s="297"/>
      <c r="S100" s="297"/>
      <c r="T100" s="297"/>
      <c r="U100" s="297"/>
    </row>
    <row r="101" spans="1:26" s="7" customFormat="1" ht="45" customHeight="1" thickTop="1" thickBot="1" x14ac:dyDescent="0.3">
      <c r="B101" s="231" t="s">
        <v>10</v>
      </c>
      <c r="C101" s="231" t="s">
        <v>11</v>
      </c>
      <c r="D101" s="231" t="s">
        <v>12</v>
      </c>
      <c r="E101" s="297"/>
      <c r="F101" s="297"/>
      <c r="G101" s="331"/>
      <c r="H101" s="331"/>
      <c r="I101" s="331"/>
      <c r="J101" s="331"/>
      <c r="K101" s="241" t="s">
        <v>13</v>
      </c>
      <c r="L101" s="241" t="s">
        <v>14</v>
      </c>
      <c r="M101" s="241" t="s">
        <v>116</v>
      </c>
      <c r="N101" s="241" t="s">
        <v>15</v>
      </c>
      <c r="O101" s="297"/>
      <c r="P101" s="297"/>
      <c r="Q101" s="297"/>
      <c r="R101" s="297"/>
      <c r="S101" s="297"/>
      <c r="T101" s="297"/>
      <c r="U101" s="297"/>
    </row>
    <row r="102" spans="1:26" s="7" customFormat="1" ht="136.5" customHeight="1" thickTop="1" thickBot="1" x14ac:dyDescent="0.3">
      <c r="A102" s="15"/>
      <c r="B102" s="247" t="s">
        <v>79</v>
      </c>
      <c r="C102" s="247" t="s">
        <v>80</v>
      </c>
      <c r="D102" s="247">
        <v>6</v>
      </c>
      <c r="E102" s="188" t="s">
        <v>113</v>
      </c>
      <c r="F102" s="157" t="s">
        <v>47</v>
      </c>
      <c r="G102" s="247" t="s">
        <v>48</v>
      </c>
      <c r="H102" s="247" t="s">
        <v>18</v>
      </c>
      <c r="I102" s="180">
        <v>121</v>
      </c>
      <c r="J102" s="247">
        <f>SUM(K102:N102)</f>
        <v>445</v>
      </c>
      <c r="K102" s="247">
        <v>0</v>
      </c>
      <c r="L102" s="247">
        <v>0</v>
      </c>
      <c r="M102" s="247">
        <v>189</v>
      </c>
      <c r="N102" s="247">
        <v>256</v>
      </c>
      <c r="O102" s="247" t="s">
        <v>240</v>
      </c>
      <c r="P102" s="332" t="s">
        <v>49</v>
      </c>
      <c r="Q102" s="333"/>
      <c r="R102" s="333"/>
      <c r="S102" s="333"/>
      <c r="T102" s="333"/>
      <c r="U102" s="334"/>
      <c r="V102" s="15"/>
    </row>
    <row r="103" spans="1:26" s="7" customFormat="1" x14ac:dyDescent="0.25">
      <c r="A103" s="15"/>
    </row>
    <row r="104" spans="1:26" s="7" customFormat="1" x14ac:dyDescent="0.25">
      <c r="A104" s="15"/>
    </row>
    <row r="105" spans="1:26" s="7" customFormat="1" ht="18" thickBot="1" x14ac:dyDescent="0.35">
      <c r="A105" s="15"/>
      <c r="B105" s="295" t="s">
        <v>78</v>
      </c>
      <c r="C105" s="295"/>
      <c r="D105" s="295"/>
      <c r="E105" s="295"/>
      <c r="F105" s="295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</row>
    <row r="106" spans="1:26" s="7" customFormat="1" ht="16.5" thickTop="1" thickBot="1" x14ac:dyDescent="0.3">
      <c r="A106" s="15"/>
      <c r="B106" s="296" t="s">
        <v>0</v>
      </c>
      <c r="C106" s="296"/>
      <c r="D106" s="296"/>
      <c r="E106" s="296" t="s">
        <v>19</v>
      </c>
      <c r="F106" s="296"/>
      <c r="G106" s="319" t="s">
        <v>20</v>
      </c>
      <c r="H106" s="319"/>
      <c r="I106" s="319"/>
      <c r="J106" s="319"/>
      <c r="K106" s="319" t="s">
        <v>21</v>
      </c>
      <c r="L106" s="319"/>
      <c r="M106" s="319"/>
      <c r="N106" s="319"/>
      <c r="O106" s="296" t="s">
        <v>22</v>
      </c>
      <c r="P106" s="319" t="s">
        <v>23</v>
      </c>
      <c r="Q106" s="319"/>
      <c r="R106" s="319"/>
      <c r="S106" s="319"/>
      <c r="T106" s="319"/>
      <c r="U106" s="319"/>
    </row>
    <row r="107" spans="1:26" s="7" customFormat="1" ht="42.75" thickTop="1" thickBot="1" x14ac:dyDescent="0.3">
      <c r="A107" s="15"/>
      <c r="B107" s="234" t="s">
        <v>10</v>
      </c>
      <c r="C107" s="234" t="s">
        <v>11</v>
      </c>
      <c r="D107" s="234" t="s">
        <v>12</v>
      </c>
      <c r="E107" s="296"/>
      <c r="F107" s="296"/>
      <c r="G107" s="12" t="s">
        <v>36</v>
      </c>
      <c r="H107" s="12" t="s">
        <v>24</v>
      </c>
      <c r="I107" s="12" t="s">
        <v>25</v>
      </c>
      <c r="J107" s="12" t="s">
        <v>26</v>
      </c>
      <c r="K107" s="12" t="s">
        <v>13</v>
      </c>
      <c r="L107" s="12" t="s">
        <v>14</v>
      </c>
      <c r="M107" s="12" t="s">
        <v>116</v>
      </c>
      <c r="N107" s="12" t="s">
        <v>15</v>
      </c>
      <c r="O107" s="296"/>
      <c r="P107" s="13" t="s">
        <v>27</v>
      </c>
      <c r="Q107" s="13" t="s">
        <v>28</v>
      </c>
      <c r="R107" s="13" t="s">
        <v>29</v>
      </c>
      <c r="S107" s="13" t="s">
        <v>30</v>
      </c>
      <c r="T107" s="13" t="s">
        <v>31</v>
      </c>
      <c r="U107" s="13" t="s">
        <v>32</v>
      </c>
    </row>
    <row r="108" spans="1:26" s="7" customFormat="1" ht="62.25" customHeight="1" thickTop="1" thickBot="1" x14ac:dyDescent="0.3">
      <c r="B108" s="235" t="s">
        <v>79</v>
      </c>
      <c r="C108" s="235" t="s">
        <v>80</v>
      </c>
      <c r="D108" s="235">
        <v>6</v>
      </c>
      <c r="E108" s="291" t="s">
        <v>247</v>
      </c>
      <c r="F108" s="291"/>
      <c r="G108" s="202" t="s">
        <v>250</v>
      </c>
      <c r="H108" s="235">
        <v>445</v>
      </c>
      <c r="I108" s="46">
        <v>35000</v>
      </c>
      <c r="J108" s="50">
        <f>+H108*I108</f>
        <v>15575000</v>
      </c>
      <c r="K108" s="50">
        <v>0</v>
      </c>
      <c r="L108" s="50">
        <v>0</v>
      </c>
      <c r="M108" s="50">
        <f>+M102*I108</f>
        <v>6615000</v>
      </c>
      <c r="N108" s="50">
        <f>+N102*I108</f>
        <v>8960000</v>
      </c>
      <c r="O108" s="235" t="s">
        <v>241</v>
      </c>
      <c r="P108" s="235">
        <v>0</v>
      </c>
      <c r="Q108" s="60">
        <v>0</v>
      </c>
      <c r="R108" s="235">
        <v>4</v>
      </c>
      <c r="S108" s="235">
        <v>1</v>
      </c>
      <c r="T108" s="235">
        <v>4</v>
      </c>
      <c r="U108" s="235">
        <v>1</v>
      </c>
      <c r="V108" s="121"/>
      <c r="W108" s="121"/>
      <c r="X108" s="121"/>
      <c r="Y108" s="121"/>
    </row>
    <row r="109" spans="1:26" s="15" customFormat="1" ht="19.5" customHeight="1" x14ac:dyDescent="0.25">
      <c r="A109" s="7"/>
      <c r="B109" s="121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37"/>
      <c r="O109" s="138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75"/>
    </row>
    <row r="110" spans="1:26" s="15" customFormat="1" ht="19.5" customHeight="1" x14ac:dyDescent="0.25">
      <c r="A110" s="7"/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37"/>
      <c r="O110" s="138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75"/>
    </row>
    <row r="111" spans="1:26" s="7" customFormat="1" ht="18" thickBot="1" x14ac:dyDescent="0.35">
      <c r="B111" s="295" t="s">
        <v>77</v>
      </c>
      <c r="C111" s="295"/>
      <c r="D111" s="295"/>
      <c r="E111" s="295"/>
      <c r="F111" s="295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121"/>
      <c r="W111" s="121"/>
      <c r="X111" s="121"/>
      <c r="Y111" s="137" t="e">
        <f>+#REF!-308123715.6</f>
        <v>#REF!</v>
      </c>
    </row>
    <row r="112" spans="1:26" s="7" customFormat="1" ht="15.75" customHeight="1" thickTop="1" thickBot="1" x14ac:dyDescent="0.3">
      <c r="B112" s="296" t="s">
        <v>0</v>
      </c>
      <c r="C112" s="296"/>
      <c r="D112" s="296"/>
      <c r="E112" s="296" t="s">
        <v>1</v>
      </c>
      <c r="F112" s="296" t="s">
        <v>2</v>
      </c>
      <c r="G112" s="319" t="s">
        <v>3</v>
      </c>
      <c r="H112" s="319" t="s">
        <v>4</v>
      </c>
      <c r="I112" s="319" t="s">
        <v>5</v>
      </c>
      <c r="J112" s="319" t="s">
        <v>6</v>
      </c>
      <c r="K112" s="319" t="s">
        <v>7</v>
      </c>
      <c r="L112" s="319"/>
      <c r="M112" s="319"/>
      <c r="N112" s="319"/>
      <c r="O112" s="296" t="s">
        <v>8</v>
      </c>
      <c r="P112" s="296" t="s">
        <v>9</v>
      </c>
      <c r="Q112" s="296"/>
      <c r="R112" s="296"/>
      <c r="S112" s="296"/>
      <c r="T112" s="296"/>
      <c r="U112" s="296"/>
    </row>
    <row r="113" spans="2:22" s="7" customFormat="1" ht="25.5" customHeight="1" thickTop="1" thickBot="1" x14ac:dyDescent="0.3">
      <c r="B113" s="234" t="s">
        <v>10</v>
      </c>
      <c r="C113" s="234" t="s">
        <v>11</v>
      </c>
      <c r="D113" s="234" t="s">
        <v>12</v>
      </c>
      <c r="E113" s="296"/>
      <c r="F113" s="296"/>
      <c r="G113" s="319"/>
      <c r="H113" s="319"/>
      <c r="I113" s="319"/>
      <c r="J113" s="319"/>
      <c r="K113" s="12" t="s">
        <v>13</v>
      </c>
      <c r="L113" s="12" t="s">
        <v>14</v>
      </c>
      <c r="M113" s="12" t="s">
        <v>116</v>
      </c>
      <c r="N113" s="12" t="s">
        <v>15</v>
      </c>
      <c r="O113" s="296"/>
      <c r="P113" s="296"/>
      <c r="Q113" s="296"/>
      <c r="R113" s="296"/>
      <c r="S113" s="296"/>
      <c r="T113" s="296"/>
      <c r="U113" s="296"/>
    </row>
    <row r="114" spans="2:22" s="7" customFormat="1" ht="241.5" customHeight="1" thickTop="1" thickBot="1" x14ac:dyDescent="0.3">
      <c r="B114" s="235" t="s">
        <v>79</v>
      </c>
      <c r="C114" s="235" t="s">
        <v>80</v>
      </c>
      <c r="D114" s="235">
        <v>6</v>
      </c>
      <c r="E114" s="41" t="s">
        <v>114</v>
      </c>
      <c r="F114" s="239" t="s">
        <v>50</v>
      </c>
      <c r="G114" s="235" t="s">
        <v>51</v>
      </c>
      <c r="H114" s="235" t="s">
        <v>18</v>
      </c>
      <c r="I114" s="235">
        <v>1347</v>
      </c>
      <c r="J114" s="235">
        <f>SUM(K114:N114)</f>
        <v>2410</v>
      </c>
      <c r="K114" s="247">
        <v>0</v>
      </c>
      <c r="L114" s="247">
        <v>840</v>
      </c>
      <c r="M114" s="247">
        <v>1180</v>
      </c>
      <c r="N114" s="45">
        <v>390</v>
      </c>
      <c r="O114" s="50">
        <f>+J119+J121</f>
        <v>220318135.73000002</v>
      </c>
      <c r="P114" s="316" t="s">
        <v>115</v>
      </c>
      <c r="Q114" s="317"/>
      <c r="R114" s="317"/>
      <c r="S114" s="317"/>
      <c r="T114" s="317"/>
      <c r="U114" s="318"/>
    </row>
    <row r="115" spans="2:22" s="7" customFormat="1" x14ac:dyDescent="0.25"/>
    <row r="116" spans="2:22" s="7" customFormat="1" ht="18" thickBot="1" x14ac:dyDescent="0.35">
      <c r="B116" s="295" t="s">
        <v>78</v>
      </c>
      <c r="C116" s="295"/>
      <c r="D116" s="295"/>
      <c r="E116" s="295"/>
      <c r="F116" s="295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</row>
    <row r="117" spans="2:22" s="7" customFormat="1" ht="15.75" customHeight="1" thickTop="1" thickBot="1" x14ac:dyDescent="0.3">
      <c r="B117" s="296" t="s">
        <v>0</v>
      </c>
      <c r="C117" s="296"/>
      <c r="D117" s="296"/>
      <c r="E117" s="296" t="s">
        <v>19</v>
      </c>
      <c r="F117" s="296"/>
      <c r="G117" s="319" t="s">
        <v>20</v>
      </c>
      <c r="H117" s="319"/>
      <c r="I117" s="319"/>
      <c r="J117" s="319"/>
      <c r="K117" s="319" t="s">
        <v>21</v>
      </c>
      <c r="L117" s="319"/>
      <c r="M117" s="319"/>
      <c r="N117" s="319"/>
      <c r="O117" s="296" t="s">
        <v>22</v>
      </c>
      <c r="P117" s="319" t="s">
        <v>23</v>
      </c>
      <c r="Q117" s="319"/>
      <c r="R117" s="319"/>
      <c r="S117" s="319"/>
      <c r="T117" s="319"/>
      <c r="U117" s="319"/>
    </row>
    <row r="118" spans="2:22" s="7" customFormat="1" ht="57" customHeight="1" thickTop="1" thickBot="1" x14ac:dyDescent="0.3">
      <c r="B118" s="234" t="s">
        <v>10</v>
      </c>
      <c r="C118" s="234" t="s">
        <v>11</v>
      </c>
      <c r="D118" s="234" t="s">
        <v>12</v>
      </c>
      <c r="E118" s="296"/>
      <c r="F118" s="296"/>
      <c r="G118" s="12" t="s">
        <v>36</v>
      </c>
      <c r="H118" s="12" t="s">
        <v>24</v>
      </c>
      <c r="I118" s="12" t="s">
        <v>25</v>
      </c>
      <c r="J118" s="12" t="s">
        <v>26</v>
      </c>
      <c r="K118" s="12" t="s">
        <v>13</v>
      </c>
      <c r="L118" s="12" t="s">
        <v>14</v>
      </c>
      <c r="M118" s="12" t="s">
        <v>116</v>
      </c>
      <c r="N118" s="12" t="s">
        <v>15</v>
      </c>
      <c r="O118" s="296"/>
      <c r="P118" s="13" t="s">
        <v>27</v>
      </c>
      <c r="Q118" s="13" t="s">
        <v>28</v>
      </c>
      <c r="R118" s="13" t="s">
        <v>29</v>
      </c>
      <c r="S118" s="13" t="s">
        <v>30</v>
      </c>
      <c r="T118" s="13" t="s">
        <v>31</v>
      </c>
      <c r="U118" s="13" t="s">
        <v>32</v>
      </c>
    </row>
    <row r="119" spans="2:22" s="7" customFormat="1" ht="45" customHeight="1" thickTop="1" thickBot="1" x14ac:dyDescent="0.3">
      <c r="B119" s="235" t="s">
        <v>79</v>
      </c>
      <c r="C119" s="235" t="s">
        <v>80</v>
      </c>
      <c r="D119" s="235">
        <v>6</v>
      </c>
      <c r="E119" s="291" t="s">
        <v>117</v>
      </c>
      <c r="F119" s="291"/>
      <c r="G119" s="202" t="s">
        <v>259</v>
      </c>
      <c r="H119" s="235">
        <v>2410</v>
      </c>
      <c r="I119" s="46">
        <v>57600.103000000003</v>
      </c>
      <c r="J119" s="158">
        <f>+H119*I119</f>
        <v>138816248.23000002</v>
      </c>
      <c r="K119" s="50">
        <v>0</v>
      </c>
      <c r="L119" s="50">
        <f>+J119/3</f>
        <v>46272082.74333334</v>
      </c>
      <c r="M119" s="50">
        <f t="shared" ref="L119:N121" si="7">+L119</f>
        <v>46272082.74333334</v>
      </c>
      <c r="N119" s="50">
        <f t="shared" si="7"/>
        <v>46272082.74333334</v>
      </c>
      <c r="O119" s="235" t="s">
        <v>53</v>
      </c>
      <c r="P119" s="235">
        <v>98</v>
      </c>
      <c r="Q119" s="60">
        <v>2071</v>
      </c>
      <c r="R119" s="235">
        <v>4</v>
      </c>
      <c r="S119" s="235">
        <v>1</v>
      </c>
      <c r="T119" s="235">
        <v>4</v>
      </c>
      <c r="U119" s="235">
        <v>1</v>
      </c>
      <c r="V119" s="64"/>
    </row>
    <row r="120" spans="2:22" s="7" customFormat="1" ht="45" customHeight="1" thickBot="1" x14ac:dyDescent="0.3">
      <c r="B120" s="221"/>
      <c r="C120" s="221"/>
      <c r="D120" s="221">
        <v>6</v>
      </c>
      <c r="E120" s="292" t="s">
        <v>153</v>
      </c>
      <c r="F120" s="292"/>
      <c r="G120" s="222" t="s">
        <v>259</v>
      </c>
      <c r="H120" s="221">
        <v>3500</v>
      </c>
      <c r="I120" s="223">
        <v>135000</v>
      </c>
      <c r="J120" s="224">
        <f>+H120*I120</f>
        <v>472500000</v>
      </c>
      <c r="K120" s="224">
        <f>+J120/4</f>
        <v>118125000</v>
      </c>
      <c r="L120" s="224">
        <f>+K120</f>
        <v>118125000</v>
      </c>
      <c r="M120" s="224">
        <f>+L120</f>
        <v>118125000</v>
      </c>
      <c r="N120" s="224">
        <f>+M120</f>
        <v>118125000</v>
      </c>
      <c r="O120" s="221" t="s">
        <v>52</v>
      </c>
      <c r="P120" s="221">
        <v>98</v>
      </c>
      <c r="Q120" s="248">
        <v>2071</v>
      </c>
      <c r="R120" s="248">
        <v>4</v>
      </c>
      <c r="S120" s="248">
        <v>1</v>
      </c>
      <c r="T120" s="248">
        <v>4</v>
      </c>
      <c r="U120" s="248">
        <v>1</v>
      </c>
    </row>
    <row r="121" spans="2:22" s="7" customFormat="1" ht="45" customHeight="1" thickTop="1" thickBot="1" x14ac:dyDescent="0.3">
      <c r="B121" s="232" t="s">
        <v>79</v>
      </c>
      <c r="C121" s="232" t="s">
        <v>80</v>
      </c>
      <c r="D121" s="232">
        <v>6</v>
      </c>
      <c r="E121" s="293" t="s">
        <v>118</v>
      </c>
      <c r="F121" s="294"/>
      <c r="G121" s="202" t="s">
        <v>259</v>
      </c>
      <c r="H121" s="232">
        <v>1150</v>
      </c>
      <c r="I121" s="96">
        <f>81501887.5/1150</f>
        <v>70871.206521739135</v>
      </c>
      <c r="J121" s="97">
        <f>SUM(K121:N121)</f>
        <v>81501887.5</v>
      </c>
      <c r="K121" s="97">
        <f>+I121*H121/4</f>
        <v>20375471.875</v>
      </c>
      <c r="L121" s="97">
        <f t="shared" si="7"/>
        <v>20375471.875</v>
      </c>
      <c r="M121" s="97">
        <f t="shared" si="7"/>
        <v>20375471.875</v>
      </c>
      <c r="N121" s="97">
        <f t="shared" si="7"/>
        <v>20375471.875</v>
      </c>
      <c r="O121" s="232" t="s">
        <v>53</v>
      </c>
      <c r="P121" s="235">
        <v>98</v>
      </c>
      <c r="Q121" s="60">
        <v>2071</v>
      </c>
      <c r="R121" s="232">
        <v>4</v>
      </c>
      <c r="S121" s="232">
        <v>1</v>
      </c>
      <c r="T121" s="232">
        <v>4</v>
      </c>
      <c r="U121" s="232">
        <v>1</v>
      </c>
    </row>
    <row r="122" spans="2:22" s="121" customFormat="1" x14ac:dyDescent="0.25">
      <c r="B122" s="139"/>
      <c r="C122" s="139"/>
      <c r="D122" s="139"/>
      <c r="E122" s="139"/>
      <c r="F122" s="139"/>
      <c r="G122" s="140"/>
      <c r="H122" s="140"/>
      <c r="I122" s="140"/>
      <c r="J122" s="141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</row>
    <row r="123" spans="2:22" s="121" customFormat="1" x14ac:dyDescent="0.25">
      <c r="B123" s="139"/>
      <c r="C123" s="139"/>
      <c r="D123" s="139"/>
      <c r="E123" s="139"/>
      <c r="F123" s="139"/>
      <c r="G123" s="156"/>
      <c r="H123" s="156"/>
      <c r="I123" s="156"/>
      <c r="J123" s="141"/>
      <c r="K123" s="156"/>
      <c r="L123" s="156"/>
      <c r="M123" s="213"/>
      <c r="N123" s="156"/>
      <c r="O123" s="140"/>
      <c r="P123" s="140"/>
      <c r="Q123" s="140"/>
      <c r="R123" s="140"/>
      <c r="S123" s="140"/>
      <c r="T123" s="140"/>
      <c r="U123" s="140"/>
    </row>
    <row r="124" spans="2:22" s="121" customFormat="1" x14ac:dyDescent="0.25">
      <c r="F124" s="207"/>
      <c r="H124" s="206"/>
      <c r="I124" s="207"/>
      <c r="J124" s="206"/>
      <c r="K124" s="206"/>
      <c r="L124" s="206"/>
    </row>
    <row r="125" spans="2:22" s="7" customFormat="1" ht="18" thickBot="1" x14ac:dyDescent="0.35">
      <c r="B125" s="313" t="s">
        <v>77</v>
      </c>
      <c r="C125" s="313"/>
      <c r="D125" s="313"/>
      <c r="E125" s="313"/>
      <c r="F125" s="313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</row>
    <row r="126" spans="2:22" s="7" customFormat="1" ht="15.75" customHeight="1" thickTop="1" thickBot="1" x14ac:dyDescent="0.3">
      <c r="B126" s="297" t="s">
        <v>0</v>
      </c>
      <c r="C126" s="297"/>
      <c r="D126" s="297"/>
      <c r="E126" s="297" t="s">
        <v>1</v>
      </c>
      <c r="F126" s="297" t="s">
        <v>2</v>
      </c>
      <c r="G126" s="331" t="s">
        <v>3</v>
      </c>
      <c r="H126" s="331" t="s">
        <v>4</v>
      </c>
      <c r="I126" s="331" t="s">
        <v>5</v>
      </c>
      <c r="J126" s="331" t="s">
        <v>6</v>
      </c>
      <c r="K126" s="331" t="s">
        <v>7</v>
      </c>
      <c r="L126" s="331"/>
      <c r="M126" s="331"/>
      <c r="N126" s="331"/>
      <c r="O126" s="297" t="s">
        <v>8</v>
      </c>
      <c r="P126" s="297" t="s">
        <v>9</v>
      </c>
      <c r="Q126" s="297"/>
      <c r="R126" s="297"/>
      <c r="S126" s="297"/>
      <c r="T126" s="297"/>
      <c r="U126" s="297"/>
    </row>
    <row r="127" spans="2:22" s="7" customFormat="1" ht="16.5" thickTop="1" thickBot="1" x14ac:dyDescent="0.3">
      <c r="B127" s="231" t="s">
        <v>10</v>
      </c>
      <c r="C127" s="231" t="s">
        <v>11</v>
      </c>
      <c r="D127" s="231" t="s">
        <v>12</v>
      </c>
      <c r="E127" s="297"/>
      <c r="F127" s="297"/>
      <c r="G127" s="331"/>
      <c r="H127" s="331"/>
      <c r="I127" s="331"/>
      <c r="J127" s="331"/>
      <c r="K127" s="241" t="s">
        <v>13</v>
      </c>
      <c r="L127" s="241" t="s">
        <v>14</v>
      </c>
      <c r="M127" s="241" t="s">
        <v>116</v>
      </c>
      <c r="N127" s="241" t="s">
        <v>15</v>
      </c>
      <c r="O127" s="297"/>
      <c r="P127" s="297"/>
      <c r="Q127" s="297"/>
      <c r="R127" s="297"/>
      <c r="S127" s="297"/>
      <c r="T127" s="297"/>
      <c r="U127" s="297"/>
    </row>
    <row r="128" spans="2:22" s="7" customFormat="1" ht="213.75" customHeight="1" thickTop="1" thickBot="1" x14ac:dyDescent="0.3">
      <c r="B128" s="247" t="s">
        <v>79</v>
      </c>
      <c r="C128" s="247" t="s">
        <v>80</v>
      </c>
      <c r="D128" s="247">
        <v>6</v>
      </c>
      <c r="E128" s="188" t="s">
        <v>119</v>
      </c>
      <c r="F128" s="157" t="s">
        <v>120</v>
      </c>
      <c r="G128" s="247" t="s">
        <v>51</v>
      </c>
      <c r="H128" s="247" t="s">
        <v>54</v>
      </c>
      <c r="I128" s="247">
        <v>338</v>
      </c>
      <c r="J128" s="247">
        <f>SUM(K128:N128)</f>
        <v>825</v>
      </c>
      <c r="K128" s="247">
        <v>0</v>
      </c>
      <c r="L128" s="247">
        <v>261</v>
      </c>
      <c r="M128" s="247">
        <v>59</v>
      </c>
      <c r="N128" s="247">
        <v>505</v>
      </c>
      <c r="O128" s="247" t="s">
        <v>55</v>
      </c>
      <c r="P128" s="332" t="s">
        <v>56</v>
      </c>
      <c r="Q128" s="333"/>
      <c r="R128" s="333"/>
      <c r="S128" s="333"/>
      <c r="T128" s="333"/>
      <c r="U128" s="334"/>
    </row>
    <row r="129" spans="2:21" s="7" customFormat="1" x14ac:dyDescent="0.25"/>
    <row r="130" spans="2:21" s="7" customFormat="1" x14ac:dyDescent="0.25"/>
    <row r="131" spans="2:21" s="7" customFormat="1" x14ac:dyDescent="0.25"/>
    <row r="132" spans="2:21" s="7" customFormat="1" x14ac:dyDescent="0.25"/>
    <row r="133" spans="2:21" s="7" customFormat="1" ht="18" thickBot="1" x14ac:dyDescent="0.35">
      <c r="B133" s="295" t="s">
        <v>78</v>
      </c>
      <c r="C133" s="295"/>
      <c r="D133" s="295"/>
      <c r="E133" s="295"/>
      <c r="F133" s="295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</row>
    <row r="134" spans="2:21" s="7" customFormat="1" ht="16.5" thickTop="1" thickBot="1" x14ac:dyDescent="0.3">
      <c r="B134" s="296" t="s">
        <v>0</v>
      </c>
      <c r="C134" s="296"/>
      <c r="D134" s="296"/>
      <c r="E134" s="296" t="s">
        <v>19</v>
      </c>
      <c r="F134" s="296"/>
      <c r="G134" s="319" t="s">
        <v>20</v>
      </c>
      <c r="H134" s="319"/>
      <c r="I134" s="319"/>
      <c r="J134" s="319"/>
      <c r="K134" s="319" t="s">
        <v>21</v>
      </c>
      <c r="L134" s="319"/>
      <c r="M134" s="319"/>
      <c r="N134" s="319"/>
      <c r="O134" s="296" t="s">
        <v>22</v>
      </c>
      <c r="P134" s="319" t="s">
        <v>23</v>
      </c>
      <c r="Q134" s="319"/>
      <c r="R134" s="319"/>
      <c r="S134" s="319"/>
      <c r="T134" s="319"/>
      <c r="U134" s="319"/>
    </row>
    <row r="135" spans="2:21" s="7" customFormat="1" ht="41.25" customHeight="1" thickTop="1" thickBot="1" x14ac:dyDescent="0.3">
      <c r="B135" s="234" t="s">
        <v>10</v>
      </c>
      <c r="C135" s="234" t="s">
        <v>11</v>
      </c>
      <c r="D135" s="234" t="s">
        <v>12</v>
      </c>
      <c r="E135" s="296"/>
      <c r="F135" s="296"/>
      <c r="G135" s="12" t="s">
        <v>36</v>
      </c>
      <c r="H135" s="12" t="s">
        <v>24</v>
      </c>
      <c r="I135" s="12" t="s">
        <v>25</v>
      </c>
      <c r="J135" s="12" t="s">
        <v>26</v>
      </c>
      <c r="K135" s="12" t="s">
        <v>13</v>
      </c>
      <c r="L135" s="12" t="s">
        <v>14</v>
      </c>
      <c r="M135" s="12" t="s">
        <v>116</v>
      </c>
      <c r="N135" s="12" t="s">
        <v>15</v>
      </c>
      <c r="O135" s="296"/>
      <c r="P135" s="13" t="s">
        <v>27</v>
      </c>
      <c r="Q135" s="13" t="s">
        <v>28</v>
      </c>
      <c r="R135" s="13" t="s">
        <v>29</v>
      </c>
      <c r="S135" s="13" t="s">
        <v>30</v>
      </c>
      <c r="T135" s="13" t="s">
        <v>31</v>
      </c>
      <c r="U135" s="13" t="s">
        <v>32</v>
      </c>
    </row>
    <row r="136" spans="2:21" s="7" customFormat="1" ht="56.25" customHeight="1" thickTop="1" thickBot="1" x14ac:dyDescent="0.3">
      <c r="B136" s="235" t="s">
        <v>79</v>
      </c>
      <c r="C136" s="235" t="s">
        <v>80</v>
      </c>
      <c r="D136" s="235">
        <v>6</v>
      </c>
      <c r="E136" s="291" t="s">
        <v>246</v>
      </c>
      <c r="F136" s="291"/>
      <c r="G136" s="202" t="s">
        <v>259</v>
      </c>
      <c r="H136" s="235">
        <v>825</v>
      </c>
      <c r="I136" s="46">
        <v>57600.01</v>
      </c>
      <c r="J136" s="50">
        <f>+H136*I136</f>
        <v>47520008.25</v>
      </c>
      <c r="K136" s="50">
        <v>0</v>
      </c>
      <c r="L136" s="50">
        <f>+J136/3</f>
        <v>15840002.75</v>
      </c>
      <c r="M136" s="50">
        <f t="shared" ref="M136:N136" si="8">+L136</f>
        <v>15840002.75</v>
      </c>
      <c r="N136" s="50">
        <f t="shared" si="8"/>
        <v>15840002.75</v>
      </c>
      <c r="O136" s="190" t="s">
        <v>241</v>
      </c>
      <c r="P136" s="235">
        <v>0</v>
      </c>
      <c r="Q136" s="60">
        <v>0</v>
      </c>
      <c r="R136" s="235">
        <v>0</v>
      </c>
      <c r="S136" s="235">
        <v>0</v>
      </c>
      <c r="T136" s="235">
        <v>0</v>
      </c>
      <c r="U136" s="235">
        <v>0</v>
      </c>
    </row>
    <row r="137" spans="2:21" s="7" customFormat="1" x14ac:dyDescent="0.25"/>
    <row r="138" spans="2:21" s="7" customFormat="1" x14ac:dyDescent="0.25"/>
    <row r="139" spans="2:21" s="7" customFormat="1" x14ac:dyDescent="0.25"/>
    <row r="140" spans="2:21" s="7" customFormat="1" x14ac:dyDescent="0.25"/>
    <row r="141" spans="2:21" s="7" customFormat="1" x14ac:dyDescent="0.25"/>
    <row r="142" spans="2:21" s="7" customFormat="1" ht="18" thickBot="1" x14ac:dyDescent="0.35">
      <c r="B142" s="295" t="s">
        <v>77</v>
      </c>
      <c r="C142" s="295"/>
      <c r="D142" s="295"/>
      <c r="E142" s="295"/>
      <c r="F142" s="295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</row>
    <row r="143" spans="2:21" s="7" customFormat="1" ht="16.5" customHeight="1" thickTop="1" thickBot="1" x14ac:dyDescent="0.3">
      <c r="B143" s="296" t="s">
        <v>0</v>
      </c>
      <c r="C143" s="296"/>
      <c r="D143" s="296"/>
      <c r="E143" s="296" t="s">
        <v>1</v>
      </c>
      <c r="F143" s="296" t="s">
        <v>2</v>
      </c>
      <c r="G143" s="319" t="s">
        <v>3</v>
      </c>
      <c r="H143" s="319" t="s">
        <v>4</v>
      </c>
      <c r="I143" s="319" t="s">
        <v>5</v>
      </c>
      <c r="J143" s="319" t="s">
        <v>6</v>
      </c>
      <c r="K143" s="319" t="s">
        <v>7</v>
      </c>
      <c r="L143" s="319"/>
      <c r="M143" s="319"/>
      <c r="N143" s="319"/>
      <c r="O143" s="296" t="s">
        <v>8</v>
      </c>
      <c r="P143" s="296" t="s">
        <v>9</v>
      </c>
      <c r="Q143" s="296"/>
      <c r="R143" s="296"/>
      <c r="S143" s="296"/>
      <c r="T143" s="296"/>
      <c r="U143" s="296"/>
    </row>
    <row r="144" spans="2:21" s="7" customFormat="1" ht="36" customHeight="1" thickTop="1" thickBot="1" x14ac:dyDescent="0.3">
      <c r="B144" s="234" t="s">
        <v>10</v>
      </c>
      <c r="C144" s="234" t="s">
        <v>11</v>
      </c>
      <c r="D144" s="234" t="s">
        <v>12</v>
      </c>
      <c r="E144" s="296"/>
      <c r="F144" s="296"/>
      <c r="G144" s="319"/>
      <c r="H144" s="319"/>
      <c r="I144" s="319"/>
      <c r="J144" s="319"/>
      <c r="K144" s="12" t="s">
        <v>13</v>
      </c>
      <c r="L144" s="12" t="s">
        <v>14</v>
      </c>
      <c r="M144" s="12" t="s">
        <v>116</v>
      </c>
      <c r="N144" s="12" t="s">
        <v>15</v>
      </c>
      <c r="O144" s="296"/>
      <c r="P144" s="296"/>
      <c r="Q144" s="296"/>
      <c r="R144" s="296"/>
      <c r="S144" s="296"/>
      <c r="T144" s="296"/>
      <c r="U144" s="296"/>
    </row>
    <row r="145" spans="2:21" s="7" customFormat="1" ht="191.25" customHeight="1" thickTop="1" thickBot="1" x14ac:dyDescent="0.3">
      <c r="B145" s="235" t="s">
        <v>79</v>
      </c>
      <c r="C145" s="235" t="s">
        <v>80</v>
      </c>
      <c r="D145" s="235">
        <v>6</v>
      </c>
      <c r="E145" s="76" t="s">
        <v>121</v>
      </c>
      <c r="F145" s="239" t="s">
        <v>57</v>
      </c>
      <c r="G145" s="235" t="s">
        <v>58</v>
      </c>
      <c r="H145" s="235" t="s">
        <v>59</v>
      </c>
      <c r="I145" s="235">
        <v>25345</v>
      </c>
      <c r="J145" s="235">
        <f>SUM(K145:N145)</f>
        <v>11910</v>
      </c>
      <c r="K145" s="247">
        <v>3000</v>
      </c>
      <c r="L145" s="247">
        <v>3500</v>
      </c>
      <c r="M145" s="247">
        <v>3500</v>
      </c>
      <c r="N145" s="45">
        <v>1910</v>
      </c>
      <c r="O145" s="50">
        <f>SUM(J150:J152)</f>
        <v>595500000</v>
      </c>
      <c r="P145" s="328" t="s">
        <v>238</v>
      </c>
      <c r="Q145" s="328"/>
      <c r="R145" s="328"/>
      <c r="S145" s="328"/>
      <c r="T145" s="328"/>
      <c r="U145" s="328"/>
    </row>
    <row r="146" spans="2:21" s="7" customFormat="1" x14ac:dyDescent="0.25"/>
    <row r="147" spans="2:21" s="7" customFormat="1" ht="18" thickBot="1" x14ac:dyDescent="0.35">
      <c r="B147" s="295" t="s">
        <v>78</v>
      </c>
      <c r="C147" s="295"/>
      <c r="D147" s="295"/>
      <c r="E147" s="295"/>
      <c r="F147" s="295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</row>
    <row r="148" spans="2:21" s="7" customFormat="1" ht="27.75" customHeight="1" thickTop="1" thickBot="1" x14ac:dyDescent="0.3">
      <c r="B148" s="296" t="s">
        <v>0</v>
      </c>
      <c r="C148" s="296"/>
      <c r="D148" s="296"/>
      <c r="E148" s="296" t="s">
        <v>19</v>
      </c>
      <c r="F148" s="296"/>
      <c r="G148" s="319" t="s">
        <v>20</v>
      </c>
      <c r="H148" s="319"/>
      <c r="I148" s="319"/>
      <c r="J148" s="319"/>
      <c r="K148" s="319" t="s">
        <v>21</v>
      </c>
      <c r="L148" s="319"/>
      <c r="M148" s="319"/>
      <c r="N148" s="319"/>
      <c r="O148" s="296" t="s">
        <v>22</v>
      </c>
      <c r="P148" s="319" t="s">
        <v>23</v>
      </c>
      <c r="Q148" s="319"/>
      <c r="R148" s="319"/>
      <c r="S148" s="319"/>
      <c r="T148" s="319"/>
      <c r="U148" s="319"/>
    </row>
    <row r="149" spans="2:21" s="7" customFormat="1" ht="60" customHeight="1" thickTop="1" thickBot="1" x14ac:dyDescent="0.3">
      <c r="B149" s="234" t="s">
        <v>10</v>
      </c>
      <c r="C149" s="234" t="s">
        <v>11</v>
      </c>
      <c r="D149" s="234" t="s">
        <v>12</v>
      </c>
      <c r="E149" s="296"/>
      <c r="F149" s="296"/>
      <c r="G149" s="12" t="s">
        <v>36</v>
      </c>
      <c r="H149" s="12" t="s">
        <v>24</v>
      </c>
      <c r="I149" s="12" t="s">
        <v>25</v>
      </c>
      <c r="J149" s="12" t="s">
        <v>26</v>
      </c>
      <c r="K149" s="12" t="s">
        <v>13</v>
      </c>
      <c r="L149" s="12" t="s">
        <v>14</v>
      </c>
      <c r="M149" s="12" t="s">
        <v>116</v>
      </c>
      <c r="N149" s="12" t="s">
        <v>15</v>
      </c>
      <c r="O149" s="296"/>
      <c r="P149" s="13" t="s">
        <v>27</v>
      </c>
      <c r="Q149" s="13" t="s">
        <v>28</v>
      </c>
      <c r="R149" s="13" t="s">
        <v>29</v>
      </c>
      <c r="S149" s="13" t="s">
        <v>30</v>
      </c>
      <c r="T149" s="13" t="s">
        <v>31</v>
      </c>
      <c r="U149" s="13" t="s">
        <v>32</v>
      </c>
    </row>
    <row r="150" spans="2:21" s="7" customFormat="1" ht="134.25" customHeight="1" thickTop="1" thickBot="1" x14ac:dyDescent="0.3">
      <c r="B150" s="235" t="s">
        <v>79</v>
      </c>
      <c r="C150" s="235" t="s">
        <v>80</v>
      </c>
      <c r="D150" s="235">
        <v>6</v>
      </c>
      <c r="E150" s="291" t="s">
        <v>124</v>
      </c>
      <c r="F150" s="291"/>
      <c r="G150" s="198" t="s">
        <v>260</v>
      </c>
      <c r="H150" s="235">
        <v>9010</v>
      </c>
      <c r="I150" s="46">
        <v>50000</v>
      </c>
      <c r="J150" s="96">
        <f>+H150*I150</f>
        <v>450500000</v>
      </c>
      <c r="K150" s="50">
        <f>+I150*H150/4</f>
        <v>112625000</v>
      </c>
      <c r="L150" s="50">
        <f>+K150</f>
        <v>112625000</v>
      </c>
      <c r="M150" s="50">
        <f>+L150</f>
        <v>112625000</v>
      </c>
      <c r="N150" s="50">
        <f>+M150</f>
        <v>112625000</v>
      </c>
      <c r="O150" s="235" t="s">
        <v>42</v>
      </c>
      <c r="P150" s="235">
        <v>98</v>
      </c>
      <c r="Q150" s="60">
        <v>2071</v>
      </c>
      <c r="R150" s="235">
        <v>4</v>
      </c>
      <c r="S150" s="235">
        <v>1</v>
      </c>
      <c r="T150" s="235">
        <v>4</v>
      </c>
      <c r="U150" s="235">
        <v>1</v>
      </c>
    </row>
    <row r="151" spans="2:21" s="7" customFormat="1" ht="84" customHeight="1" thickTop="1" thickBot="1" x14ac:dyDescent="0.3">
      <c r="B151" s="232" t="s">
        <v>79</v>
      </c>
      <c r="C151" s="232" t="s">
        <v>80</v>
      </c>
      <c r="D151" s="232">
        <v>6</v>
      </c>
      <c r="E151" s="299" t="s">
        <v>122</v>
      </c>
      <c r="F151" s="299"/>
      <c r="G151" s="130" t="s">
        <v>260</v>
      </c>
      <c r="H151" s="232">
        <v>900</v>
      </c>
      <c r="I151" s="96">
        <v>50000</v>
      </c>
      <c r="J151" s="96">
        <f t="shared" ref="J151:J152" si="9">+H151*I151</f>
        <v>45000000</v>
      </c>
      <c r="K151" s="97">
        <v>0</v>
      </c>
      <c r="L151" s="97">
        <f>+I151*H151/3</f>
        <v>15000000</v>
      </c>
      <c r="M151" s="97">
        <f>+L151</f>
        <v>15000000</v>
      </c>
      <c r="N151" s="97">
        <f>+M151</f>
        <v>15000000</v>
      </c>
      <c r="O151" s="232" t="s">
        <v>42</v>
      </c>
      <c r="P151" s="235">
        <v>98</v>
      </c>
      <c r="Q151" s="60">
        <v>2071</v>
      </c>
      <c r="R151" s="235">
        <v>4</v>
      </c>
      <c r="S151" s="235">
        <v>1</v>
      </c>
      <c r="T151" s="235">
        <v>4</v>
      </c>
      <c r="U151" s="235">
        <v>1</v>
      </c>
    </row>
    <row r="152" spans="2:21" s="7" customFormat="1" ht="105.75" customHeight="1" thickTop="1" thickBot="1" x14ac:dyDescent="0.3">
      <c r="B152" s="232" t="s">
        <v>79</v>
      </c>
      <c r="C152" s="232" t="s">
        <v>80</v>
      </c>
      <c r="D152" s="232">
        <v>6</v>
      </c>
      <c r="E152" s="330" t="s">
        <v>123</v>
      </c>
      <c r="F152" s="324"/>
      <c r="G152" s="130" t="s">
        <v>261</v>
      </c>
      <c r="H152" s="232">
        <v>2000</v>
      </c>
      <c r="I152" s="96">
        <v>50000</v>
      </c>
      <c r="J152" s="96">
        <f t="shared" si="9"/>
        <v>100000000</v>
      </c>
      <c r="K152" s="97">
        <f>+I152*H152/2</f>
        <v>50000000</v>
      </c>
      <c r="L152" s="97">
        <f>+K152</f>
        <v>50000000</v>
      </c>
      <c r="M152" s="97"/>
      <c r="N152" s="97"/>
      <c r="O152" s="232" t="s">
        <v>42</v>
      </c>
      <c r="P152" s="235">
        <v>98</v>
      </c>
      <c r="Q152" s="60">
        <v>2071</v>
      </c>
      <c r="R152" s="235">
        <v>4</v>
      </c>
      <c r="S152" s="235">
        <v>1</v>
      </c>
      <c r="T152" s="235">
        <v>4</v>
      </c>
      <c r="U152" s="235">
        <v>1</v>
      </c>
    </row>
    <row r="153" spans="2:21" s="7" customFormat="1" x14ac:dyDescent="0.25">
      <c r="B153" s="78"/>
      <c r="C153" s="78"/>
      <c r="D153" s="78"/>
      <c r="E153" s="78"/>
      <c r="F153" s="78"/>
      <c r="G153" s="78"/>
      <c r="H153" s="78"/>
      <c r="I153" s="78"/>
      <c r="J153" s="79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</row>
    <row r="154" spans="2:21" s="7" customFormat="1" x14ac:dyDescent="0.25"/>
    <row r="155" spans="2:21" s="7" customFormat="1" ht="18" thickBot="1" x14ac:dyDescent="0.35">
      <c r="B155" s="295" t="s">
        <v>77</v>
      </c>
      <c r="C155" s="295"/>
      <c r="D155" s="295"/>
      <c r="E155" s="295"/>
      <c r="F155" s="295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</row>
    <row r="156" spans="2:21" s="7" customFormat="1" ht="20.25" customHeight="1" thickTop="1" thickBot="1" x14ac:dyDescent="0.3">
      <c r="B156" s="296" t="s">
        <v>0</v>
      </c>
      <c r="C156" s="296"/>
      <c r="D156" s="296"/>
      <c r="E156" s="296" t="s">
        <v>1</v>
      </c>
      <c r="F156" s="296" t="s">
        <v>2</v>
      </c>
      <c r="G156" s="319" t="s">
        <v>3</v>
      </c>
      <c r="H156" s="319" t="s">
        <v>4</v>
      </c>
      <c r="I156" s="319" t="s">
        <v>5</v>
      </c>
      <c r="J156" s="319" t="s">
        <v>6</v>
      </c>
      <c r="K156" s="319" t="s">
        <v>7</v>
      </c>
      <c r="L156" s="319"/>
      <c r="M156" s="319"/>
      <c r="N156" s="319"/>
      <c r="O156" s="296" t="s">
        <v>8</v>
      </c>
      <c r="P156" s="296" t="s">
        <v>9</v>
      </c>
      <c r="Q156" s="296"/>
      <c r="R156" s="296"/>
      <c r="S156" s="296"/>
      <c r="T156" s="296"/>
      <c r="U156" s="296"/>
    </row>
    <row r="157" spans="2:21" s="7" customFormat="1" ht="16.5" thickTop="1" thickBot="1" x14ac:dyDescent="0.3">
      <c r="B157" s="234" t="s">
        <v>10</v>
      </c>
      <c r="C157" s="234" t="s">
        <v>11</v>
      </c>
      <c r="D157" s="234" t="s">
        <v>12</v>
      </c>
      <c r="E157" s="296"/>
      <c r="F157" s="296"/>
      <c r="G157" s="319"/>
      <c r="H157" s="319"/>
      <c r="I157" s="319"/>
      <c r="J157" s="319"/>
      <c r="K157" s="12" t="s">
        <v>13</v>
      </c>
      <c r="L157" s="12" t="s">
        <v>14</v>
      </c>
      <c r="M157" s="12" t="s">
        <v>116</v>
      </c>
      <c r="N157" s="12" t="s">
        <v>15</v>
      </c>
      <c r="O157" s="296"/>
      <c r="P157" s="296"/>
      <c r="Q157" s="296"/>
      <c r="R157" s="296"/>
      <c r="S157" s="296"/>
      <c r="T157" s="296"/>
      <c r="U157" s="296"/>
    </row>
    <row r="158" spans="2:21" s="7" customFormat="1" ht="304.5" customHeight="1" thickTop="1" thickBot="1" x14ac:dyDescent="0.3">
      <c r="B158" s="235" t="s">
        <v>79</v>
      </c>
      <c r="C158" s="235" t="s">
        <v>80</v>
      </c>
      <c r="D158" s="235">
        <v>6</v>
      </c>
      <c r="E158" s="76" t="s">
        <v>125</v>
      </c>
      <c r="F158" s="239" t="s">
        <v>60</v>
      </c>
      <c r="G158" s="235" t="s">
        <v>17</v>
      </c>
      <c r="H158" s="235" t="s">
        <v>61</v>
      </c>
      <c r="I158" s="80">
        <v>53971</v>
      </c>
      <c r="J158" s="235">
        <f>SUM(K158:N158)</f>
        <v>3000</v>
      </c>
      <c r="K158" s="247">
        <v>750</v>
      </c>
      <c r="L158" s="247">
        <v>750</v>
      </c>
      <c r="M158" s="247">
        <v>750</v>
      </c>
      <c r="N158" s="247">
        <v>750</v>
      </c>
      <c r="O158" s="46">
        <f>SUM(J163:J165)</f>
        <v>26382226.899999999</v>
      </c>
      <c r="P158" s="316" t="s">
        <v>126</v>
      </c>
      <c r="Q158" s="317"/>
      <c r="R158" s="317"/>
      <c r="S158" s="317"/>
      <c r="T158" s="317"/>
      <c r="U158" s="318"/>
    </row>
    <row r="159" spans="2:21" s="7" customFormat="1" x14ac:dyDescent="0.25"/>
    <row r="160" spans="2:21" s="7" customFormat="1" ht="18" thickBot="1" x14ac:dyDescent="0.35">
      <c r="B160" s="295" t="s">
        <v>78</v>
      </c>
      <c r="C160" s="295"/>
      <c r="D160" s="295"/>
      <c r="E160" s="295"/>
      <c r="F160" s="295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</row>
    <row r="161" spans="2:21" s="7" customFormat="1" ht="20.25" customHeight="1" thickTop="1" thickBot="1" x14ac:dyDescent="0.3">
      <c r="B161" s="296" t="s">
        <v>0</v>
      </c>
      <c r="C161" s="296"/>
      <c r="D161" s="296"/>
      <c r="E161" s="296" t="s">
        <v>19</v>
      </c>
      <c r="F161" s="296"/>
      <c r="G161" s="319" t="s">
        <v>20</v>
      </c>
      <c r="H161" s="319"/>
      <c r="I161" s="319"/>
      <c r="J161" s="319"/>
      <c r="K161" s="319" t="s">
        <v>21</v>
      </c>
      <c r="L161" s="319"/>
      <c r="M161" s="319"/>
      <c r="N161" s="319"/>
      <c r="O161" s="296" t="s">
        <v>22</v>
      </c>
      <c r="P161" s="319" t="s">
        <v>23</v>
      </c>
      <c r="Q161" s="319"/>
      <c r="R161" s="319"/>
      <c r="S161" s="319"/>
      <c r="T161" s="319"/>
      <c r="U161" s="319"/>
    </row>
    <row r="162" spans="2:21" s="7" customFormat="1" ht="42.75" thickTop="1" thickBot="1" x14ac:dyDescent="0.3">
      <c r="B162" s="234" t="s">
        <v>10</v>
      </c>
      <c r="C162" s="234" t="s">
        <v>11</v>
      </c>
      <c r="D162" s="234" t="s">
        <v>12</v>
      </c>
      <c r="E162" s="296"/>
      <c r="F162" s="296"/>
      <c r="G162" s="12" t="s">
        <v>36</v>
      </c>
      <c r="H162" s="12" t="s">
        <v>24</v>
      </c>
      <c r="I162" s="12" t="s">
        <v>25</v>
      </c>
      <c r="J162" s="12" t="s">
        <v>26</v>
      </c>
      <c r="K162" s="12" t="s">
        <v>13</v>
      </c>
      <c r="L162" s="12" t="s">
        <v>14</v>
      </c>
      <c r="M162" s="12" t="s">
        <v>116</v>
      </c>
      <c r="N162" s="12" t="s">
        <v>15</v>
      </c>
      <c r="O162" s="296"/>
      <c r="P162" s="13" t="s">
        <v>27</v>
      </c>
      <c r="Q162" s="13" t="s">
        <v>28</v>
      </c>
      <c r="R162" s="13" t="s">
        <v>29</v>
      </c>
      <c r="S162" s="13" t="s">
        <v>30</v>
      </c>
      <c r="T162" s="13" t="s">
        <v>31</v>
      </c>
      <c r="U162" s="13" t="s">
        <v>32</v>
      </c>
    </row>
    <row r="163" spans="2:21" s="7" customFormat="1" ht="35.1" customHeight="1" thickTop="1" thickBot="1" x14ac:dyDescent="0.3">
      <c r="B163" s="321" t="s">
        <v>79</v>
      </c>
      <c r="C163" s="321" t="s">
        <v>80</v>
      </c>
      <c r="D163" s="321">
        <v>6</v>
      </c>
      <c r="E163" s="291" t="s">
        <v>127</v>
      </c>
      <c r="F163" s="291"/>
      <c r="G163" s="109" t="s">
        <v>251</v>
      </c>
      <c r="H163" s="235">
        <f>3000+110</f>
        <v>3110</v>
      </c>
      <c r="I163" s="46">
        <v>8363.2099999999991</v>
      </c>
      <c r="J163" s="46">
        <f>+H163*I163</f>
        <v>26009583.099999998</v>
      </c>
      <c r="K163" s="50">
        <f>+J163/4</f>
        <v>6502395.7749999994</v>
      </c>
      <c r="L163" s="50">
        <f t="shared" ref="L163:N163" si="10">+K163</f>
        <v>6502395.7749999994</v>
      </c>
      <c r="M163" s="50">
        <f t="shared" si="10"/>
        <v>6502395.7749999994</v>
      </c>
      <c r="N163" s="50">
        <f t="shared" si="10"/>
        <v>6502395.7749999994</v>
      </c>
      <c r="O163" s="235" t="s">
        <v>42</v>
      </c>
      <c r="P163" s="235">
        <v>98</v>
      </c>
      <c r="Q163" s="60">
        <v>2071</v>
      </c>
      <c r="R163" s="235">
        <v>4</v>
      </c>
      <c r="S163" s="235">
        <v>1</v>
      </c>
      <c r="T163" s="235">
        <v>4</v>
      </c>
      <c r="U163" s="81">
        <v>1</v>
      </c>
    </row>
    <row r="164" spans="2:21" s="7" customFormat="1" ht="35.1" customHeight="1" thickTop="1" thickBot="1" x14ac:dyDescent="0.3">
      <c r="B164" s="304"/>
      <c r="C164" s="304"/>
      <c r="D164" s="304"/>
      <c r="E164" s="299"/>
      <c r="F164" s="299"/>
      <c r="G164" s="110" t="s">
        <v>243</v>
      </c>
      <c r="H164" s="232">
        <f>20</f>
        <v>20</v>
      </c>
      <c r="I164" s="96">
        <v>10032.19</v>
      </c>
      <c r="J164" s="106">
        <f>SUM(K164:N164)</f>
        <v>200643.80000000002</v>
      </c>
      <c r="K164" s="96">
        <f>+I164*H164/4</f>
        <v>50160.950000000004</v>
      </c>
      <c r="L164" s="96">
        <f>+K164</f>
        <v>50160.950000000004</v>
      </c>
      <c r="M164" s="96">
        <f>+L164</f>
        <v>50160.950000000004</v>
      </c>
      <c r="N164" s="96">
        <f>+M164</f>
        <v>50160.950000000004</v>
      </c>
      <c r="O164" s="232" t="s">
        <v>42</v>
      </c>
      <c r="P164" s="235">
        <v>98</v>
      </c>
      <c r="Q164" s="60">
        <v>2071</v>
      </c>
      <c r="R164" s="248">
        <v>2</v>
      </c>
      <c r="S164" s="248">
        <v>3</v>
      </c>
      <c r="T164" s="248">
        <v>1</v>
      </c>
      <c r="U164" s="189"/>
    </row>
    <row r="165" spans="2:21" s="7" customFormat="1" ht="35.1" customHeight="1" thickTop="1" thickBot="1" x14ac:dyDescent="0.3">
      <c r="B165" s="305"/>
      <c r="C165" s="305"/>
      <c r="D165" s="305"/>
      <c r="E165" s="299"/>
      <c r="F165" s="299"/>
      <c r="G165" s="110" t="s">
        <v>242</v>
      </c>
      <c r="H165" s="232">
        <v>4</v>
      </c>
      <c r="I165" s="96">
        <v>43000</v>
      </c>
      <c r="J165" s="96">
        <f>+H165*I165</f>
        <v>172000</v>
      </c>
      <c r="K165" s="96">
        <v>0</v>
      </c>
      <c r="L165" s="96">
        <f>+H165*I165</f>
        <v>172000</v>
      </c>
      <c r="M165" s="96"/>
      <c r="N165" s="96"/>
      <c r="O165" s="232" t="s">
        <v>42</v>
      </c>
      <c r="P165" s="235">
        <v>98</v>
      </c>
      <c r="Q165" s="60">
        <v>2071</v>
      </c>
      <c r="R165" s="232">
        <v>2</v>
      </c>
      <c r="S165" s="232">
        <v>3</v>
      </c>
      <c r="T165" s="232">
        <v>2</v>
      </c>
      <c r="U165" s="143"/>
    </row>
    <row r="166" spans="2:21" s="7" customFormat="1" ht="35.1" customHeight="1" x14ac:dyDescent="0.25">
      <c r="B166" s="87"/>
      <c r="C166" s="87"/>
      <c r="D166" s="87"/>
      <c r="E166" s="208"/>
      <c r="F166" s="208"/>
      <c r="G166" s="209"/>
      <c r="H166" s="87"/>
      <c r="I166" s="210"/>
      <c r="J166" s="210"/>
      <c r="K166" s="210"/>
      <c r="L166" s="210"/>
      <c r="M166" s="210"/>
      <c r="N166" s="210"/>
      <c r="O166" s="87"/>
      <c r="P166" s="87"/>
      <c r="Q166" s="211"/>
      <c r="R166" s="87"/>
      <c r="S166" s="87"/>
      <c r="T166" s="87"/>
      <c r="U166" s="87"/>
    </row>
    <row r="167" spans="2:21" s="7" customFormat="1" x14ac:dyDescent="0.25">
      <c r="B167" s="18"/>
      <c r="C167" s="18"/>
      <c r="D167" s="18"/>
      <c r="E167" s="18"/>
      <c r="F167" s="18"/>
      <c r="G167" s="18"/>
      <c r="H167" s="18"/>
      <c r="I167" s="18"/>
      <c r="J167" s="144"/>
      <c r="K167" s="145"/>
      <c r="L167" s="18"/>
      <c r="M167" s="18"/>
      <c r="N167" s="18"/>
      <c r="O167" s="18"/>
      <c r="P167" s="18"/>
      <c r="Q167" s="18"/>
      <c r="R167" s="18"/>
      <c r="S167" s="18"/>
      <c r="T167" s="18"/>
      <c r="U167" s="18"/>
    </row>
    <row r="168" spans="2:21" s="7" customFormat="1" ht="18" thickBot="1" x14ac:dyDescent="0.35">
      <c r="B168" s="295" t="s">
        <v>77</v>
      </c>
      <c r="C168" s="295"/>
      <c r="D168" s="295"/>
      <c r="E168" s="295"/>
      <c r="F168" s="295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</row>
    <row r="169" spans="2:21" s="7" customFormat="1" ht="16.5" customHeight="1" thickTop="1" thickBot="1" x14ac:dyDescent="0.3">
      <c r="B169" s="296" t="s">
        <v>0</v>
      </c>
      <c r="C169" s="296"/>
      <c r="D169" s="296"/>
      <c r="E169" s="296" t="s">
        <v>1</v>
      </c>
      <c r="F169" s="296" t="s">
        <v>2</v>
      </c>
      <c r="G169" s="319" t="s">
        <v>3</v>
      </c>
      <c r="H169" s="319" t="s">
        <v>4</v>
      </c>
      <c r="I169" s="319" t="s">
        <v>5</v>
      </c>
      <c r="J169" s="319" t="s">
        <v>6</v>
      </c>
      <c r="K169" s="319" t="s">
        <v>7</v>
      </c>
      <c r="L169" s="319"/>
      <c r="M169" s="319"/>
      <c r="N169" s="319"/>
      <c r="O169" s="296" t="s">
        <v>8</v>
      </c>
      <c r="P169" s="296" t="s">
        <v>9</v>
      </c>
      <c r="Q169" s="296"/>
      <c r="R169" s="296"/>
      <c r="S169" s="296"/>
      <c r="T169" s="296"/>
      <c r="U169" s="296"/>
    </row>
    <row r="170" spans="2:21" s="7" customFormat="1" ht="36.75" customHeight="1" thickTop="1" thickBot="1" x14ac:dyDescent="0.3">
      <c r="B170" s="234" t="s">
        <v>10</v>
      </c>
      <c r="C170" s="234" t="s">
        <v>11</v>
      </c>
      <c r="D170" s="234" t="s">
        <v>12</v>
      </c>
      <c r="E170" s="296"/>
      <c r="F170" s="296"/>
      <c r="G170" s="319"/>
      <c r="H170" s="319"/>
      <c r="I170" s="319"/>
      <c r="J170" s="319"/>
      <c r="K170" s="12" t="s">
        <v>13</v>
      </c>
      <c r="L170" s="12" t="s">
        <v>14</v>
      </c>
      <c r="M170" s="12" t="s">
        <v>116</v>
      </c>
      <c r="N170" s="12" t="s">
        <v>15</v>
      </c>
      <c r="O170" s="296"/>
      <c r="P170" s="296"/>
      <c r="Q170" s="296"/>
      <c r="R170" s="296"/>
      <c r="S170" s="296"/>
      <c r="T170" s="296"/>
      <c r="U170" s="296"/>
    </row>
    <row r="171" spans="2:21" s="7" customFormat="1" ht="297" customHeight="1" thickTop="1" thickBot="1" x14ac:dyDescent="0.3">
      <c r="B171" s="235" t="s">
        <v>79</v>
      </c>
      <c r="C171" s="235" t="s">
        <v>80</v>
      </c>
      <c r="D171" s="235">
        <v>6</v>
      </c>
      <c r="E171" s="191" t="s">
        <v>244</v>
      </c>
      <c r="F171" s="239" t="s">
        <v>62</v>
      </c>
      <c r="G171" s="235" t="s">
        <v>51</v>
      </c>
      <c r="H171" s="235" t="s">
        <v>63</v>
      </c>
      <c r="I171" s="45">
        <v>0</v>
      </c>
      <c r="J171" s="235">
        <f>SUM(K171:N171)</f>
        <v>5000</v>
      </c>
      <c r="K171" s="247">
        <v>2220</v>
      </c>
      <c r="L171" s="247"/>
      <c r="M171" s="247">
        <v>2780</v>
      </c>
      <c r="N171" s="247"/>
      <c r="O171" s="50">
        <f>SUM(J176:J182)</f>
        <v>292845800</v>
      </c>
      <c r="P171" s="328" t="s">
        <v>236</v>
      </c>
      <c r="Q171" s="328"/>
      <c r="R171" s="328"/>
      <c r="S171" s="328"/>
      <c r="T171" s="328"/>
      <c r="U171" s="328"/>
    </row>
    <row r="172" spans="2:21" s="7" customFormat="1" x14ac:dyDescent="0.25"/>
    <row r="173" spans="2:21" s="7" customFormat="1" ht="18" thickBot="1" x14ac:dyDescent="0.35">
      <c r="B173" s="295" t="s">
        <v>78</v>
      </c>
      <c r="C173" s="295"/>
      <c r="D173" s="295"/>
      <c r="E173" s="295"/>
      <c r="F173" s="295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</row>
    <row r="174" spans="2:21" s="7" customFormat="1" ht="16.5" customHeight="1" thickTop="1" thickBot="1" x14ac:dyDescent="0.3">
      <c r="B174" s="296" t="s">
        <v>0</v>
      </c>
      <c r="C174" s="296"/>
      <c r="D174" s="296"/>
      <c r="E174" s="296" t="s">
        <v>19</v>
      </c>
      <c r="F174" s="296"/>
      <c r="G174" s="319" t="s">
        <v>20</v>
      </c>
      <c r="H174" s="319"/>
      <c r="I174" s="319"/>
      <c r="J174" s="319"/>
      <c r="K174" s="319" t="s">
        <v>21</v>
      </c>
      <c r="L174" s="319"/>
      <c r="M174" s="319"/>
      <c r="N174" s="319"/>
      <c r="O174" s="296" t="s">
        <v>22</v>
      </c>
      <c r="P174" s="319" t="s">
        <v>23</v>
      </c>
      <c r="Q174" s="319"/>
      <c r="R174" s="319"/>
      <c r="S174" s="319"/>
      <c r="T174" s="319"/>
      <c r="U174" s="319"/>
    </row>
    <row r="175" spans="2:21" s="7" customFormat="1" ht="57" customHeight="1" thickTop="1" thickBot="1" x14ac:dyDescent="0.3">
      <c r="B175" s="240" t="s">
        <v>10</v>
      </c>
      <c r="C175" s="240" t="s">
        <v>11</v>
      </c>
      <c r="D175" s="240" t="s">
        <v>12</v>
      </c>
      <c r="E175" s="329"/>
      <c r="F175" s="329"/>
      <c r="G175" s="147" t="s">
        <v>36</v>
      </c>
      <c r="H175" s="147" t="s">
        <v>24</v>
      </c>
      <c r="I175" s="147" t="s">
        <v>25</v>
      </c>
      <c r="J175" s="147" t="s">
        <v>26</v>
      </c>
      <c r="K175" s="147" t="s">
        <v>13</v>
      </c>
      <c r="L175" s="147" t="s">
        <v>14</v>
      </c>
      <c r="M175" s="147" t="s">
        <v>116</v>
      </c>
      <c r="N175" s="147" t="s">
        <v>15</v>
      </c>
      <c r="O175" s="329"/>
      <c r="P175" s="148" t="s">
        <v>27</v>
      </c>
      <c r="Q175" s="148" t="s">
        <v>28</v>
      </c>
      <c r="R175" s="148" t="s">
        <v>29</v>
      </c>
      <c r="S175" s="148" t="s">
        <v>30</v>
      </c>
      <c r="T175" s="148" t="s">
        <v>31</v>
      </c>
      <c r="U175" s="148" t="s">
        <v>32</v>
      </c>
    </row>
    <row r="176" spans="2:21" s="7" customFormat="1" ht="61.5" customHeight="1" thickBot="1" x14ac:dyDescent="0.3">
      <c r="B176" s="243" t="s">
        <v>79</v>
      </c>
      <c r="C176" s="243" t="s">
        <v>80</v>
      </c>
      <c r="D176" s="243">
        <v>6</v>
      </c>
      <c r="E176" s="327" t="s">
        <v>128</v>
      </c>
      <c r="F176" s="327"/>
      <c r="G176" s="82" t="s">
        <v>64</v>
      </c>
      <c r="H176" s="243">
        <v>5000</v>
      </c>
      <c r="I176" s="136">
        <v>54222.16</v>
      </c>
      <c r="J176" s="134">
        <f>+H176*I176</f>
        <v>271110800</v>
      </c>
      <c r="K176" s="134">
        <f>+I176*H176/2</f>
        <v>135555400</v>
      </c>
      <c r="L176" s="134"/>
      <c r="M176" s="134">
        <f>+K176</f>
        <v>135555400</v>
      </c>
      <c r="N176" s="134"/>
      <c r="O176" s="243" t="s">
        <v>42</v>
      </c>
      <c r="P176" s="243">
        <v>98</v>
      </c>
      <c r="Q176" s="243">
        <v>2071</v>
      </c>
      <c r="R176" s="243">
        <v>4</v>
      </c>
      <c r="S176" s="243">
        <v>1</v>
      </c>
      <c r="T176" s="243">
        <v>4</v>
      </c>
      <c r="U176" s="243">
        <v>1</v>
      </c>
    </row>
    <row r="177" spans="2:21" s="7" customFormat="1" ht="63" customHeight="1" thickBot="1" x14ac:dyDescent="0.3">
      <c r="B177" s="243" t="s">
        <v>79</v>
      </c>
      <c r="C177" s="243" t="s">
        <v>80</v>
      </c>
      <c r="D177" s="243">
        <v>7</v>
      </c>
      <c r="E177" s="327" t="s">
        <v>129</v>
      </c>
      <c r="F177" s="327"/>
      <c r="G177" s="82" t="s">
        <v>135</v>
      </c>
      <c r="H177" s="243">
        <v>10</v>
      </c>
      <c r="I177" s="136">
        <v>100000</v>
      </c>
      <c r="J177" s="134">
        <f>+H177*I177</f>
        <v>1000000</v>
      </c>
      <c r="K177" s="134"/>
      <c r="L177" s="149">
        <f>+I177*H177</f>
        <v>1000000</v>
      </c>
      <c r="M177" s="134"/>
      <c r="N177" s="134"/>
      <c r="O177" s="243" t="s">
        <v>42</v>
      </c>
      <c r="P177" s="243">
        <v>98</v>
      </c>
      <c r="Q177" s="243">
        <v>2071</v>
      </c>
      <c r="R177" s="243">
        <v>2</v>
      </c>
      <c r="S177" s="243">
        <v>2</v>
      </c>
      <c r="T177" s="243">
        <v>2</v>
      </c>
      <c r="U177" s="243"/>
    </row>
    <row r="178" spans="2:21" s="7" customFormat="1" ht="48" customHeight="1" thickBot="1" x14ac:dyDescent="0.3">
      <c r="B178" s="243" t="s">
        <v>79</v>
      </c>
      <c r="C178" s="243" t="s">
        <v>80</v>
      </c>
      <c r="D178" s="243">
        <v>8</v>
      </c>
      <c r="E178" s="327" t="s">
        <v>130</v>
      </c>
      <c r="F178" s="327"/>
      <c r="G178" s="82" t="s">
        <v>136</v>
      </c>
      <c r="H178" s="243">
        <v>5</v>
      </c>
      <c r="I178" s="136">
        <v>400000</v>
      </c>
      <c r="J178" s="134">
        <f t="shared" ref="J178:J182" si="11">+H178*I178</f>
        <v>2000000</v>
      </c>
      <c r="K178" s="134"/>
      <c r="L178" s="134">
        <f>+I178*H178</f>
        <v>2000000</v>
      </c>
      <c r="M178" s="134"/>
      <c r="N178" s="134"/>
      <c r="O178" s="243" t="s">
        <v>42</v>
      </c>
      <c r="P178" s="243">
        <v>98</v>
      </c>
      <c r="Q178" s="243">
        <v>2071</v>
      </c>
      <c r="R178" s="243">
        <v>2</v>
      </c>
      <c r="S178" s="243">
        <v>8</v>
      </c>
      <c r="T178" s="243">
        <v>7</v>
      </c>
      <c r="U178" s="243">
        <v>6</v>
      </c>
    </row>
    <row r="179" spans="2:21" s="7" customFormat="1" ht="33" customHeight="1" thickBot="1" x14ac:dyDescent="0.3">
      <c r="B179" s="243" t="s">
        <v>79</v>
      </c>
      <c r="C179" s="243" t="s">
        <v>80</v>
      </c>
      <c r="D179" s="243">
        <v>9</v>
      </c>
      <c r="E179" s="327" t="s">
        <v>131</v>
      </c>
      <c r="F179" s="327"/>
      <c r="G179" s="82" t="s">
        <v>137</v>
      </c>
      <c r="H179" s="243">
        <v>20000</v>
      </c>
      <c r="I179" s="136">
        <v>500</v>
      </c>
      <c r="J179" s="134">
        <f t="shared" si="11"/>
        <v>10000000</v>
      </c>
      <c r="K179" s="134"/>
      <c r="L179" s="134"/>
      <c r="M179" s="134">
        <f>+I179*H179</f>
        <v>10000000</v>
      </c>
      <c r="N179" s="134"/>
      <c r="O179" s="243" t="s">
        <v>42</v>
      </c>
      <c r="P179" s="243">
        <v>98</v>
      </c>
      <c r="Q179" s="243">
        <v>2071</v>
      </c>
      <c r="R179" s="243">
        <v>2</v>
      </c>
      <c r="S179" s="243">
        <v>2</v>
      </c>
      <c r="T179" s="243">
        <v>2</v>
      </c>
      <c r="U179" s="243"/>
    </row>
    <row r="180" spans="2:21" s="7" customFormat="1" ht="30.75" thickBot="1" x14ac:dyDescent="0.3">
      <c r="B180" s="243" t="s">
        <v>79</v>
      </c>
      <c r="C180" s="243" t="s">
        <v>80</v>
      </c>
      <c r="D180" s="243">
        <v>10</v>
      </c>
      <c r="E180" s="327" t="s">
        <v>132</v>
      </c>
      <c r="F180" s="327"/>
      <c r="G180" s="82" t="s">
        <v>138</v>
      </c>
      <c r="H180" s="243">
        <v>15</v>
      </c>
      <c r="I180" s="136">
        <v>129000</v>
      </c>
      <c r="J180" s="230">
        <f>+H180*I180</f>
        <v>1935000</v>
      </c>
      <c r="K180" s="134"/>
      <c r="L180" s="134">
        <f>+H180*I180/3</f>
        <v>645000</v>
      </c>
      <c r="M180" s="134">
        <f>+L180</f>
        <v>645000</v>
      </c>
      <c r="N180" s="134">
        <f>+M180</f>
        <v>645000</v>
      </c>
      <c r="O180" s="243" t="s">
        <v>42</v>
      </c>
      <c r="P180" s="243">
        <v>98</v>
      </c>
      <c r="Q180" s="243">
        <v>2071</v>
      </c>
      <c r="R180" s="243">
        <v>2</v>
      </c>
      <c r="S180" s="243">
        <v>3</v>
      </c>
      <c r="T180" s="243">
        <v>2</v>
      </c>
      <c r="U180" s="243"/>
    </row>
    <row r="181" spans="2:21" s="7" customFormat="1" ht="57" customHeight="1" thickBot="1" x14ac:dyDescent="0.3">
      <c r="B181" s="243" t="s">
        <v>79</v>
      </c>
      <c r="C181" s="243" t="s">
        <v>80</v>
      </c>
      <c r="D181" s="243">
        <v>11</v>
      </c>
      <c r="E181" s="327" t="s">
        <v>133</v>
      </c>
      <c r="F181" s="327"/>
      <c r="G181" s="82" t="s">
        <v>269</v>
      </c>
      <c r="H181" s="243">
        <v>4</v>
      </c>
      <c r="I181" s="136">
        <v>1200000</v>
      </c>
      <c r="J181" s="225">
        <f>+H181*I181</f>
        <v>4800000</v>
      </c>
      <c r="K181" s="225">
        <f>+J181/H181</f>
        <v>1200000</v>
      </c>
      <c r="L181" s="225">
        <f>+K181</f>
        <v>1200000</v>
      </c>
      <c r="M181" s="225">
        <f>+L181</f>
        <v>1200000</v>
      </c>
      <c r="N181" s="225">
        <f>+M181</f>
        <v>1200000</v>
      </c>
      <c r="O181" s="243" t="s">
        <v>42</v>
      </c>
      <c r="P181" s="243">
        <v>98</v>
      </c>
      <c r="Q181" s="243">
        <v>2071</v>
      </c>
      <c r="R181" s="243">
        <v>2</v>
      </c>
      <c r="S181" s="243">
        <v>8</v>
      </c>
      <c r="T181" s="243">
        <v>7</v>
      </c>
      <c r="U181" s="243">
        <v>6</v>
      </c>
    </row>
    <row r="182" spans="2:21" s="7" customFormat="1" ht="42.75" customHeight="1" thickBot="1" x14ac:dyDescent="0.3">
      <c r="B182" s="243" t="s">
        <v>79</v>
      </c>
      <c r="C182" s="243" t="s">
        <v>80</v>
      </c>
      <c r="D182" s="243">
        <v>12</v>
      </c>
      <c r="E182" s="327" t="s">
        <v>134</v>
      </c>
      <c r="F182" s="327"/>
      <c r="G182" s="82" t="s">
        <v>139</v>
      </c>
      <c r="H182" s="243">
        <v>1</v>
      </c>
      <c r="I182" s="136">
        <v>2000000</v>
      </c>
      <c r="J182" s="134">
        <f t="shared" si="11"/>
        <v>2000000</v>
      </c>
      <c r="K182" s="134"/>
      <c r="L182" s="134"/>
      <c r="M182" s="134">
        <f>+I182*H182</f>
        <v>2000000</v>
      </c>
      <c r="N182" s="134"/>
      <c r="O182" s="243" t="s">
        <v>42</v>
      </c>
      <c r="P182" s="243">
        <v>98</v>
      </c>
      <c r="Q182" s="243">
        <v>2071</v>
      </c>
      <c r="R182" s="243">
        <v>2</v>
      </c>
      <c r="S182" s="243">
        <v>6</v>
      </c>
      <c r="T182" s="192">
        <v>2</v>
      </c>
      <c r="U182" s="192">
        <v>1</v>
      </c>
    </row>
    <row r="183" spans="2:21" s="7" customFormat="1" x14ac:dyDescent="0.25">
      <c r="J183" s="64"/>
      <c r="K183" s="64"/>
      <c r="L183" s="64"/>
    </row>
    <row r="184" spans="2:21" s="7" customFormat="1" x14ac:dyDescent="0.25">
      <c r="I184" s="65"/>
      <c r="J184" s="64"/>
      <c r="K184" s="64"/>
    </row>
    <row r="185" spans="2:21" s="7" customFormat="1" x14ac:dyDescent="0.25">
      <c r="H185"/>
    </row>
    <row r="186" spans="2:21" s="7" customFormat="1" x14ac:dyDescent="0.25"/>
    <row r="187" spans="2:21" s="7" customFormat="1" ht="18" thickBot="1" x14ac:dyDescent="0.35">
      <c r="B187" s="295" t="s">
        <v>77</v>
      </c>
      <c r="C187" s="295"/>
      <c r="D187" s="295"/>
      <c r="E187" s="295"/>
      <c r="F187" s="295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140"/>
      <c r="R187" s="140"/>
      <c r="S187" s="140"/>
      <c r="T187" s="140"/>
      <c r="U187" s="140"/>
    </row>
    <row r="188" spans="2:21" s="7" customFormat="1" ht="16.5" customHeight="1" thickTop="1" thickBot="1" x14ac:dyDescent="0.3">
      <c r="B188" s="296" t="s">
        <v>0</v>
      </c>
      <c r="C188" s="296"/>
      <c r="D188" s="296"/>
      <c r="E188" s="296" t="s">
        <v>1</v>
      </c>
      <c r="F188" s="296" t="s">
        <v>2</v>
      </c>
      <c r="G188" s="319" t="s">
        <v>3</v>
      </c>
      <c r="H188" s="319" t="s">
        <v>4</v>
      </c>
      <c r="I188" s="319" t="s">
        <v>5</v>
      </c>
      <c r="J188" s="319" t="s">
        <v>6</v>
      </c>
      <c r="K188" s="319" t="s">
        <v>7</v>
      </c>
      <c r="L188" s="319"/>
      <c r="M188" s="319"/>
      <c r="N188" s="319"/>
      <c r="O188" s="296" t="s">
        <v>8</v>
      </c>
      <c r="P188" s="296" t="s">
        <v>9</v>
      </c>
      <c r="Q188" s="296"/>
      <c r="R188" s="296"/>
      <c r="S188" s="296"/>
      <c r="T188" s="296"/>
      <c r="U188" s="296"/>
    </row>
    <row r="189" spans="2:21" s="7" customFormat="1" ht="42" customHeight="1" thickTop="1" thickBot="1" x14ac:dyDescent="0.3">
      <c r="B189" s="238" t="s">
        <v>10</v>
      </c>
      <c r="C189" s="238" t="s">
        <v>11</v>
      </c>
      <c r="D189" s="238" t="s">
        <v>12</v>
      </c>
      <c r="E189" s="326"/>
      <c r="F189" s="326"/>
      <c r="G189" s="325"/>
      <c r="H189" s="325"/>
      <c r="I189" s="325"/>
      <c r="J189" s="325"/>
      <c r="K189" s="151" t="s">
        <v>13</v>
      </c>
      <c r="L189" s="151" t="s">
        <v>14</v>
      </c>
      <c r="M189" s="151" t="s">
        <v>116</v>
      </c>
      <c r="N189" s="151" t="s">
        <v>15</v>
      </c>
      <c r="O189" s="326"/>
      <c r="P189" s="326"/>
      <c r="Q189" s="326"/>
      <c r="R189" s="326"/>
      <c r="S189" s="326"/>
      <c r="T189" s="326"/>
      <c r="U189" s="326"/>
    </row>
    <row r="190" spans="2:21" s="7" customFormat="1" ht="288.75" customHeight="1" thickTop="1" thickBot="1" x14ac:dyDescent="0.3">
      <c r="B190" s="84" t="s">
        <v>79</v>
      </c>
      <c r="C190" s="84" t="s">
        <v>80</v>
      </c>
      <c r="D190" s="84">
        <v>6</v>
      </c>
      <c r="E190" s="152" t="s">
        <v>150</v>
      </c>
      <c r="F190" s="83" t="s">
        <v>65</v>
      </c>
      <c r="G190" s="84" t="s">
        <v>66</v>
      </c>
      <c r="H190" s="84" t="s">
        <v>67</v>
      </c>
      <c r="I190" s="84">
        <v>29</v>
      </c>
      <c r="J190" s="84">
        <f>SUM(K190:N190)</f>
        <v>40</v>
      </c>
      <c r="K190" s="85">
        <v>0</v>
      </c>
      <c r="L190" s="85">
        <v>5</v>
      </c>
      <c r="M190" s="85">
        <v>9</v>
      </c>
      <c r="N190" s="86">
        <v>26</v>
      </c>
      <c r="O190" s="153">
        <f>SUM(J195:J204)</f>
        <v>12056696.01</v>
      </c>
      <c r="P190" s="320" t="s">
        <v>154</v>
      </c>
      <c r="Q190" s="320"/>
      <c r="R190" s="320"/>
      <c r="S190" s="320"/>
      <c r="T190" s="320"/>
      <c r="U190" s="320"/>
    </row>
    <row r="191" spans="2:21" s="7" customFormat="1" x14ac:dyDescent="0.25">
      <c r="B191" s="87"/>
      <c r="C191" s="87"/>
      <c r="D191" s="87"/>
      <c r="E191" s="88"/>
      <c r="F191" s="89"/>
      <c r="G191" s="87"/>
      <c r="H191" s="87"/>
      <c r="I191" s="87"/>
      <c r="J191" s="87"/>
      <c r="K191" s="78"/>
      <c r="L191" s="78"/>
      <c r="M191" s="78"/>
      <c r="N191" s="18"/>
      <c r="O191" s="87"/>
      <c r="P191" s="90"/>
      <c r="Q191" s="90"/>
      <c r="R191" s="90"/>
      <c r="S191" s="90"/>
      <c r="T191" s="90"/>
      <c r="U191" s="90"/>
    </row>
    <row r="192" spans="2:21" s="7" customFormat="1" ht="18" thickBot="1" x14ac:dyDescent="0.35">
      <c r="B192" s="295" t="s">
        <v>78</v>
      </c>
      <c r="C192" s="295"/>
      <c r="D192" s="295"/>
      <c r="E192" s="295"/>
      <c r="F192" s="295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</row>
    <row r="193" spans="1:21" s="7" customFormat="1" ht="17.25" customHeight="1" thickTop="1" thickBot="1" x14ac:dyDescent="0.3">
      <c r="B193" s="296" t="s">
        <v>0</v>
      </c>
      <c r="C193" s="296"/>
      <c r="D193" s="296"/>
      <c r="E193" s="296" t="s">
        <v>19</v>
      </c>
      <c r="F193" s="296"/>
      <c r="G193" s="319" t="s">
        <v>20</v>
      </c>
      <c r="H193" s="319"/>
      <c r="I193" s="319"/>
      <c r="J193" s="319"/>
      <c r="K193" s="319" t="s">
        <v>21</v>
      </c>
      <c r="L193" s="319"/>
      <c r="M193" s="319"/>
      <c r="N193" s="319"/>
      <c r="O193" s="296" t="s">
        <v>22</v>
      </c>
      <c r="P193" s="319" t="s">
        <v>23</v>
      </c>
      <c r="Q193" s="319"/>
      <c r="R193" s="319"/>
      <c r="S193" s="319"/>
      <c r="T193" s="319"/>
      <c r="U193" s="319"/>
    </row>
    <row r="194" spans="1:21" s="7" customFormat="1" ht="60" customHeight="1" thickTop="1" thickBot="1" x14ac:dyDescent="0.3">
      <c r="B194" s="234" t="s">
        <v>10</v>
      </c>
      <c r="C194" s="234" t="s">
        <v>11</v>
      </c>
      <c r="D194" s="234" t="s">
        <v>12</v>
      </c>
      <c r="E194" s="296"/>
      <c r="F194" s="296"/>
      <c r="G194" s="12" t="s">
        <v>36</v>
      </c>
      <c r="H194" s="12" t="s">
        <v>24</v>
      </c>
      <c r="I194" s="12" t="s">
        <v>25</v>
      </c>
      <c r="J194" s="12" t="s">
        <v>26</v>
      </c>
      <c r="K194" s="12" t="s">
        <v>13</v>
      </c>
      <c r="L194" s="12" t="s">
        <v>14</v>
      </c>
      <c r="M194" s="12" t="s">
        <v>116</v>
      </c>
      <c r="N194" s="12" t="s">
        <v>15</v>
      </c>
      <c r="O194" s="296"/>
      <c r="P194" s="13" t="s">
        <v>27</v>
      </c>
      <c r="Q194" s="13" t="s">
        <v>28</v>
      </c>
      <c r="R194" s="13" t="s">
        <v>29</v>
      </c>
      <c r="S194" s="13" t="s">
        <v>30</v>
      </c>
      <c r="T194" s="13" t="s">
        <v>31</v>
      </c>
      <c r="U194" s="13" t="s">
        <v>32</v>
      </c>
    </row>
    <row r="195" spans="1:21" s="7" customFormat="1" ht="35.1" customHeight="1" thickTop="1" thickBot="1" x14ac:dyDescent="0.3">
      <c r="B195" s="321" t="s">
        <v>79</v>
      </c>
      <c r="C195" s="321" t="s">
        <v>80</v>
      </c>
      <c r="D195" s="321">
        <v>6</v>
      </c>
      <c r="E195" s="322" t="s">
        <v>148</v>
      </c>
      <c r="F195" s="323"/>
      <c r="G195" s="154" t="s">
        <v>140</v>
      </c>
      <c r="H195" s="235">
        <v>11</v>
      </c>
      <c r="I195" s="46">
        <v>405090.91</v>
      </c>
      <c r="J195" s="96">
        <f t="shared" ref="J195:J204" si="12">+H195*I195</f>
        <v>4456000.01</v>
      </c>
      <c r="K195" s="50">
        <f>+I195*H195/4</f>
        <v>1114000.0024999999</v>
      </c>
      <c r="L195" s="50">
        <f t="shared" ref="L195:N196" si="13">+K195</f>
        <v>1114000.0024999999</v>
      </c>
      <c r="M195" s="50">
        <f t="shared" si="13"/>
        <v>1114000.0024999999</v>
      </c>
      <c r="N195" s="50">
        <f t="shared" si="13"/>
        <v>1114000.0024999999</v>
      </c>
      <c r="O195" s="235" t="s">
        <v>42</v>
      </c>
      <c r="P195" s="243">
        <v>98</v>
      </c>
      <c r="Q195" s="243">
        <v>2071</v>
      </c>
      <c r="R195" s="235">
        <v>2</v>
      </c>
      <c r="S195" s="235">
        <v>8</v>
      </c>
      <c r="T195" s="235">
        <v>7</v>
      </c>
      <c r="U195" s="235">
        <v>6</v>
      </c>
    </row>
    <row r="196" spans="1:21" s="7" customFormat="1" ht="35.1" customHeight="1" thickBot="1" x14ac:dyDescent="0.3">
      <c r="B196" s="304"/>
      <c r="C196" s="304"/>
      <c r="D196" s="304"/>
      <c r="E196" s="324"/>
      <c r="F196" s="324"/>
      <c r="G196" s="77" t="s">
        <v>38</v>
      </c>
      <c r="H196" s="232">
        <f>970+350</f>
        <v>1320</v>
      </c>
      <c r="I196" s="96">
        <v>1300</v>
      </c>
      <c r="J196" s="96">
        <f t="shared" si="12"/>
        <v>1716000</v>
      </c>
      <c r="K196" s="97">
        <f>+I196*H196/4</f>
        <v>429000</v>
      </c>
      <c r="L196" s="97">
        <f t="shared" si="13"/>
        <v>429000</v>
      </c>
      <c r="M196" s="97">
        <f t="shared" si="13"/>
        <v>429000</v>
      </c>
      <c r="N196" s="97">
        <f t="shared" si="13"/>
        <v>429000</v>
      </c>
      <c r="O196" s="232" t="s">
        <v>42</v>
      </c>
      <c r="P196" s="243">
        <v>98</v>
      </c>
      <c r="Q196" s="243">
        <v>2071</v>
      </c>
      <c r="R196" s="232">
        <v>2</v>
      </c>
      <c r="S196" s="232">
        <v>3</v>
      </c>
      <c r="T196" s="232">
        <v>1</v>
      </c>
      <c r="U196" s="232"/>
    </row>
    <row r="197" spans="1:21" s="7" customFormat="1" ht="35.1" customHeight="1" thickBot="1" x14ac:dyDescent="0.3">
      <c r="B197" s="304"/>
      <c r="C197" s="304"/>
      <c r="D197" s="304"/>
      <c r="E197" s="324"/>
      <c r="F197" s="324"/>
      <c r="G197" s="77" t="s">
        <v>107</v>
      </c>
      <c r="H197" s="232">
        <f>7740+1000</f>
        <v>8740</v>
      </c>
      <c r="I197" s="96">
        <v>240</v>
      </c>
      <c r="J197" s="106">
        <f t="shared" si="12"/>
        <v>2097600</v>
      </c>
      <c r="K197" s="159">
        <f>+I197*H197/4</f>
        <v>524400</v>
      </c>
      <c r="L197" s="159">
        <f>+J197/4</f>
        <v>524400</v>
      </c>
      <c r="M197" s="159">
        <f>+J197/4</f>
        <v>524400</v>
      </c>
      <c r="N197" s="159">
        <f>+M197</f>
        <v>524400</v>
      </c>
      <c r="O197" s="232" t="s">
        <v>42</v>
      </c>
      <c r="P197" s="243">
        <v>98</v>
      </c>
      <c r="Q197" s="243">
        <v>2071</v>
      </c>
      <c r="R197" s="232">
        <v>3</v>
      </c>
      <c r="S197" s="232">
        <v>7</v>
      </c>
      <c r="T197" s="232">
        <v>1</v>
      </c>
      <c r="U197" s="232">
        <v>2</v>
      </c>
    </row>
    <row r="198" spans="1:21" s="7" customFormat="1" ht="35.1" customHeight="1" thickBot="1" x14ac:dyDescent="0.3">
      <c r="B198" s="305"/>
      <c r="C198" s="305"/>
      <c r="D198" s="305"/>
      <c r="E198" s="324"/>
      <c r="F198" s="324"/>
      <c r="G198" s="77" t="s">
        <v>141</v>
      </c>
      <c r="H198" s="232">
        <f>120000+105000</f>
        <v>225000</v>
      </c>
      <c r="I198" s="96">
        <v>1.22</v>
      </c>
      <c r="J198" s="96">
        <f t="shared" si="12"/>
        <v>274500</v>
      </c>
      <c r="K198" s="97">
        <f>+I198*H198/4</f>
        <v>68625</v>
      </c>
      <c r="L198" s="97">
        <f>+K198</f>
        <v>68625</v>
      </c>
      <c r="M198" s="97">
        <f>+L198</f>
        <v>68625</v>
      </c>
      <c r="N198" s="97">
        <f>+M198</f>
        <v>68625</v>
      </c>
      <c r="O198" s="232" t="s">
        <v>42</v>
      </c>
      <c r="P198" s="243">
        <v>98</v>
      </c>
      <c r="Q198" s="243">
        <v>2071</v>
      </c>
      <c r="R198" s="232">
        <v>2</v>
      </c>
      <c r="S198" s="232">
        <v>2</v>
      </c>
      <c r="T198" s="232">
        <v>2</v>
      </c>
      <c r="U198" s="232"/>
    </row>
    <row r="199" spans="1:21" s="7" customFormat="1" ht="45" customHeight="1" thickBot="1" x14ac:dyDescent="0.3">
      <c r="B199" s="303" t="s">
        <v>79</v>
      </c>
      <c r="C199" s="303" t="s">
        <v>80</v>
      </c>
      <c r="D199" s="303">
        <v>6</v>
      </c>
      <c r="E199" s="299" t="s">
        <v>149</v>
      </c>
      <c r="F199" s="299"/>
      <c r="G199" s="155" t="s">
        <v>142</v>
      </c>
      <c r="H199" s="232">
        <v>1</v>
      </c>
      <c r="I199" s="96">
        <v>2600000</v>
      </c>
      <c r="J199" s="96">
        <f t="shared" si="12"/>
        <v>2600000</v>
      </c>
      <c r="K199" s="97">
        <f>+I199*H199/2</f>
        <v>1300000</v>
      </c>
      <c r="L199" s="108"/>
      <c r="M199" s="97"/>
      <c r="N199" s="97">
        <f>+K199</f>
        <v>1300000</v>
      </c>
      <c r="O199" s="232" t="s">
        <v>42</v>
      </c>
      <c r="P199" s="243">
        <v>98</v>
      </c>
      <c r="Q199" s="243">
        <v>2071</v>
      </c>
      <c r="R199" s="232">
        <v>2</v>
      </c>
      <c r="S199" s="232">
        <v>8</v>
      </c>
      <c r="T199" s="232">
        <v>7</v>
      </c>
      <c r="U199" s="232">
        <v>6</v>
      </c>
    </row>
    <row r="200" spans="1:21" s="7" customFormat="1" ht="45" customHeight="1" thickBot="1" x14ac:dyDescent="0.3">
      <c r="B200" s="304"/>
      <c r="C200" s="304"/>
      <c r="D200" s="304"/>
      <c r="E200" s="299"/>
      <c r="F200" s="299"/>
      <c r="G200" s="77" t="s">
        <v>143</v>
      </c>
      <c r="H200" s="232">
        <v>250</v>
      </c>
      <c r="I200" s="96">
        <v>1300</v>
      </c>
      <c r="J200" s="96">
        <f t="shared" si="12"/>
        <v>325000</v>
      </c>
      <c r="K200" s="97">
        <f>+I200*H200/3</f>
        <v>108333.33333333333</v>
      </c>
      <c r="L200" s="97">
        <f>+K200</f>
        <v>108333.33333333333</v>
      </c>
      <c r="M200" s="97">
        <f>+L200</f>
        <v>108333.33333333333</v>
      </c>
      <c r="N200" s="97"/>
      <c r="O200" s="232" t="s">
        <v>42</v>
      </c>
      <c r="P200" s="243">
        <v>98</v>
      </c>
      <c r="Q200" s="243">
        <v>2071</v>
      </c>
      <c r="R200" s="232">
        <v>2</v>
      </c>
      <c r="S200" s="232">
        <v>3</v>
      </c>
      <c r="T200" s="232">
        <v>1</v>
      </c>
      <c r="U200" s="232"/>
    </row>
    <row r="201" spans="1:21" s="7" customFormat="1" ht="45" customHeight="1" thickBot="1" x14ac:dyDescent="0.3">
      <c r="B201" s="304"/>
      <c r="C201" s="304"/>
      <c r="D201" s="304"/>
      <c r="E201" s="299"/>
      <c r="F201" s="299"/>
      <c r="G201" s="77" t="s">
        <v>144</v>
      </c>
      <c r="H201" s="232">
        <v>1495</v>
      </c>
      <c r="I201" s="96">
        <v>240</v>
      </c>
      <c r="J201" s="96">
        <f t="shared" si="12"/>
        <v>358800</v>
      </c>
      <c r="K201" s="97">
        <f>+I201*H201/3</f>
        <v>119600</v>
      </c>
      <c r="L201" s="97">
        <f>+K201</f>
        <v>119600</v>
      </c>
      <c r="M201" s="97">
        <f>+L201</f>
        <v>119600</v>
      </c>
      <c r="N201" s="97"/>
      <c r="O201" s="232" t="s">
        <v>42</v>
      </c>
      <c r="P201" s="243">
        <v>98</v>
      </c>
      <c r="Q201" s="243">
        <v>2071</v>
      </c>
      <c r="R201" s="232">
        <v>3</v>
      </c>
      <c r="S201" s="232">
        <v>7</v>
      </c>
      <c r="T201" s="232">
        <v>1</v>
      </c>
      <c r="U201" s="232">
        <v>2</v>
      </c>
    </row>
    <row r="202" spans="1:21" s="7" customFormat="1" ht="45" customHeight="1" thickBot="1" x14ac:dyDescent="0.3">
      <c r="B202" s="304"/>
      <c r="C202" s="304"/>
      <c r="D202" s="304"/>
      <c r="E202" s="299"/>
      <c r="F202" s="299"/>
      <c r="G202" s="77" t="s">
        <v>145</v>
      </c>
      <c r="H202" s="232">
        <v>7</v>
      </c>
      <c r="I202" s="96">
        <v>25000</v>
      </c>
      <c r="J202" s="96">
        <f t="shared" si="12"/>
        <v>175000</v>
      </c>
      <c r="K202" s="97"/>
      <c r="L202" s="97"/>
      <c r="M202" s="97">
        <f>+I202*H202</f>
        <v>175000</v>
      </c>
      <c r="N202" s="97"/>
      <c r="O202" s="232" t="s">
        <v>42</v>
      </c>
      <c r="P202" s="243">
        <v>98</v>
      </c>
      <c r="Q202" s="243">
        <v>2071</v>
      </c>
      <c r="R202" s="232">
        <v>3</v>
      </c>
      <c r="S202" s="232">
        <v>1</v>
      </c>
      <c r="T202" s="232">
        <v>1</v>
      </c>
      <c r="U202" s="232">
        <v>1</v>
      </c>
    </row>
    <row r="203" spans="1:21" s="7" customFormat="1" ht="45" customHeight="1" thickBot="1" x14ac:dyDescent="0.3">
      <c r="B203" s="304"/>
      <c r="C203" s="304"/>
      <c r="D203" s="304"/>
      <c r="E203" s="299"/>
      <c r="F203" s="299"/>
      <c r="G203" s="77" t="s">
        <v>146</v>
      </c>
      <c r="H203" s="232">
        <v>76</v>
      </c>
      <c r="I203" s="96">
        <v>390</v>
      </c>
      <c r="J203" s="96">
        <f t="shared" si="12"/>
        <v>29640</v>
      </c>
      <c r="K203" s="97"/>
      <c r="L203" s="97"/>
      <c r="M203" s="97">
        <f>+I203*H203</f>
        <v>29640</v>
      </c>
      <c r="N203" s="97"/>
      <c r="O203" s="232" t="s">
        <v>42</v>
      </c>
      <c r="P203" s="243">
        <v>98</v>
      </c>
      <c r="Q203" s="243">
        <v>2071</v>
      </c>
      <c r="R203" s="232">
        <v>2</v>
      </c>
      <c r="S203" s="232">
        <v>4</v>
      </c>
      <c r="T203" s="232">
        <v>1</v>
      </c>
      <c r="U203" s="232"/>
    </row>
    <row r="204" spans="1:21" s="7" customFormat="1" ht="45" customHeight="1" thickBot="1" x14ac:dyDescent="0.3">
      <c r="B204" s="305"/>
      <c r="C204" s="305"/>
      <c r="D204" s="305"/>
      <c r="E204" s="299"/>
      <c r="F204" s="299"/>
      <c r="G204" s="77" t="s">
        <v>147</v>
      </c>
      <c r="H204" s="232">
        <v>19800</v>
      </c>
      <c r="I204" s="96">
        <v>1.22</v>
      </c>
      <c r="J204" s="96">
        <f t="shared" si="12"/>
        <v>24156</v>
      </c>
      <c r="K204" s="97">
        <f>+I204*H204/2</f>
        <v>12078</v>
      </c>
      <c r="L204" s="97">
        <f>+K204</f>
        <v>12078</v>
      </c>
      <c r="M204" s="97"/>
      <c r="N204" s="97"/>
      <c r="O204" s="232" t="s">
        <v>42</v>
      </c>
      <c r="P204" s="243">
        <v>98</v>
      </c>
      <c r="Q204" s="243">
        <v>2071</v>
      </c>
      <c r="R204" s="232">
        <v>2</v>
      </c>
      <c r="S204" s="232">
        <v>2</v>
      </c>
      <c r="T204" s="232">
        <v>2</v>
      </c>
      <c r="U204" s="232"/>
    </row>
    <row r="205" spans="1:21" s="7" customFormat="1" x14ac:dyDescent="0.25">
      <c r="B205" s="17"/>
      <c r="C205" s="17"/>
      <c r="D205" s="17"/>
      <c r="E205" s="17"/>
      <c r="F205" s="17"/>
      <c r="G205" s="17"/>
      <c r="H205" s="9"/>
      <c r="I205" s="9"/>
      <c r="J205" s="10"/>
      <c r="K205" s="9"/>
      <c r="L205" s="9"/>
      <c r="M205" s="9"/>
      <c r="N205" s="18"/>
      <c r="O205" s="9"/>
      <c r="P205" s="9"/>
      <c r="Q205" s="9"/>
      <c r="R205" s="9"/>
      <c r="S205" s="9"/>
      <c r="T205" s="9"/>
      <c r="U205" s="9"/>
    </row>
    <row r="206" spans="1:21" s="7" customFormat="1" x14ac:dyDescent="0.25"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</row>
    <row r="207" spans="1:21" s="7" customFormat="1" ht="10.5" customHeight="1" x14ac:dyDescent="0.25"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</row>
    <row r="208" spans="1:21" s="7" customFormat="1" ht="16.5" customHeight="1" x14ac:dyDescent="0.25">
      <c r="A208"/>
      <c r="B208"/>
      <c r="C208"/>
      <c r="D208"/>
      <c r="E208"/>
      <c r="F208" s="11"/>
      <c r="G208" s="27"/>
      <c r="H208"/>
      <c r="I208"/>
      <c r="J208" s="11"/>
      <c r="K208" s="370" t="s">
        <v>276</v>
      </c>
      <c r="L208" s="370"/>
      <c r="M208" s="249">
        <f>253059934+322000+2987419.9+32154860+14004560+220318136+595500000+26382226.9+292845800+12056696</f>
        <v>1449631632.8000002</v>
      </c>
      <c r="N208"/>
      <c r="O208"/>
      <c r="P208"/>
      <c r="Q208"/>
      <c r="R208"/>
      <c r="S208"/>
      <c r="T208"/>
      <c r="U208"/>
    </row>
    <row r="209" spans="1:21" s="7" customFormat="1" ht="25.5" customHeight="1" x14ac:dyDescent="0.25">
      <c r="A209"/>
      <c r="B209"/>
      <c r="C209"/>
      <c r="D209"/>
      <c r="E209"/>
      <c r="F209"/>
      <c r="G209" s="11"/>
      <c r="H209" s="11"/>
      <c r="I209"/>
      <c r="J209" s="229"/>
      <c r="K209" s="11"/>
      <c r="L209" s="11"/>
      <c r="M209" s="11"/>
      <c r="N209"/>
      <c r="O209" s="11"/>
      <c r="P209"/>
      <c r="Q209"/>
      <c r="R209"/>
      <c r="S209"/>
      <c r="T209"/>
      <c r="U209"/>
    </row>
    <row r="210" spans="1:21" s="7" customFormat="1" ht="23.25" customHeight="1" x14ac:dyDescent="0.25">
      <c r="A210"/>
      <c r="B210"/>
      <c r="C210"/>
      <c r="D210"/>
      <c r="E210"/>
      <c r="F210"/>
      <c r="G210" s="16"/>
      <c r="H210"/>
      <c r="I210"/>
      <c r="J210" s="11"/>
      <c r="K210"/>
      <c r="L210" s="11"/>
      <c r="M210" s="11"/>
      <c r="N210"/>
      <c r="O210"/>
      <c r="P210"/>
      <c r="Q210"/>
      <c r="R210"/>
      <c r="S210"/>
      <c r="T210"/>
      <c r="U210"/>
    </row>
    <row r="211" spans="1:21" s="7" customFormat="1" ht="191.25" customHeight="1" x14ac:dyDescent="0.25">
      <c r="A211"/>
      <c r="B211"/>
      <c r="C211"/>
      <c r="D211"/>
      <c r="E211" s="23"/>
      <c r="F211" s="23"/>
      <c r="G211" s="28"/>
      <c r="H211" s="29"/>
      <c r="I211"/>
      <c r="J211" s="11"/>
      <c r="K211"/>
      <c r="L211"/>
      <c r="M211"/>
      <c r="N211"/>
      <c r="O211"/>
      <c r="P211"/>
      <c r="Q211"/>
      <c r="R211"/>
      <c r="S211"/>
      <c r="T211"/>
      <c r="U211"/>
    </row>
    <row r="212" spans="1:21" s="7" customFormat="1" x14ac:dyDescent="0.25">
      <c r="A212"/>
      <c r="B212"/>
      <c r="C212"/>
      <c r="D212"/>
      <c r="E212"/>
      <c r="F212"/>
      <c r="G212" s="11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</row>
    <row r="213" spans="1:21" s="7" customFormat="1" x14ac:dyDescent="0.25">
      <c r="A213"/>
      <c r="B213"/>
      <c r="C213"/>
      <c r="D213"/>
      <c r="E213"/>
      <c r="F213"/>
      <c r="G213" s="30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</row>
    <row r="214" spans="1:21" s="7" customFormat="1" ht="26.25" customHeight="1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</row>
    <row r="215" spans="1:21" s="7" customFormat="1" ht="56.25" customHeight="1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</row>
    <row r="216" spans="1:21" s="7" customFormat="1" ht="16.5" customHeight="1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</row>
    <row r="217" spans="1:21" s="7" customFormat="1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</row>
    <row r="218" spans="1:21" s="7" customFormat="1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</row>
    <row r="219" spans="1:21" s="7" customFormat="1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</row>
    <row r="220" spans="1:21" s="7" customFormat="1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</row>
    <row r="221" spans="1:21" s="7" customFormat="1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</row>
    <row r="222" spans="1:21" s="7" customFormat="1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</row>
    <row r="223" spans="1:21" s="7" customFormat="1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</row>
    <row r="224" spans="1:21" s="7" customFormat="1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</row>
    <row r="225" spans="1:39" s="7" customFormat="1" ht="43.5" customHeight="1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</row>
    <row r="226" spans="1:39" s="7" customFormat="1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</row>
    <row r="227" spans="1:39" s="7" customFormat="1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</row>
    <row r="228" spans="1:39" s="7" customFormat="1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</row>
    <row r="229" spans="1:39" s="7" customFormat="1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</row>
    <row r="230" spans="1:39" s="7" customFormat="1" ht="35.1" customHeight="1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</row>
    <row r="231" spans="1:39" s="7" customFormat="1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</row>
    <row r="232" spans="1:39" s="7" customFormat="1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</row>
    <row r="233" spans="1:39" s="7" customFormat="1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</row>
    <row r="234" spans="1:39" s="7" customFormat="1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</row>
    <row r="235" spans="1:39" s="7" customFormat="1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</row>
    <row r="236" spans="1:39" s="7" customFormat="1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</row>
    <row r="237" spans="1:39" s="7" customFormat="1" ht="15.75" customHeight="1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</row>
    <row r="238" spans="1:39" s="200" customFormat="1" ht="56.25" customHeight="1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 s="226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</row>
    <row r="239" spans="1:39" s="200" customFormat="1" ht="35.1" customHeight="1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</row>
    <row r="240" spans="1:39" s="7" customFormat="1" ht="35.1" customHeight="1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</row>
    <row r="241" spans="1:40" s="7" customFormat="1" ht="35.1" customHeight="1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</row>
    <row r="242" spans="1:40" s="7" customFormat="1" ht="35.1" customHeight="1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</row>
    <row r="243" spans="1:40" s="7" customFormat="1" ht="35.1" customHeight="1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</row>
    <row r="244" spans="1:40" s="7" customFormat="1" ht="35.1" customHeight="1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</row>
    <row r="245" spans="1:40" s="7" customFormat="1" ht="35.1" customHeight="1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</row>
    <row r="246" spans="1:40" s="200" customFormat="1" ht="35.1" customHeight="1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</row>
    <row r="247" spans="1:40" s="7" customFormat="1" ht="35.1" customHeight="1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</row>
    <row r="248" spans="1:40" s="7" customFormat="1" ht="35.1" customHeight="1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</row>
    <row r="249" spans="1:40" s="7" customFormat="1" ht="35.1" customHeight="1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</row>
    <row r="250" spans="1:40" s="7" customFormat="1" ht="35.1" customHeight="1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</row>
    <row r="251" spans="1:40" s="7" customFormat="1" ht="35.1" customHeight="1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</row>
    <row r="252" spans="1:40" s="7" customFormat="1" ht="30.75" customHeight="1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</row>
    <row r="253" spans="1:40" s="7" customFormat="1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</row>
    <row r="254" spans="1:40" s="200" customFormat="1" ht="74.25" customHeight="1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</row>
    <row r="255" spans="1:40" s="7" customFormat="1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</row>
    <row r="256" spans="1:40" s="7" customFormat="1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</row>
    <row r="257" spans="1:24" s="7" customFormat="1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</row>
    <row r="258" spans="1:24" s="7" customFormat="1" ht="45" customHeight="1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</row>
    <row r="259" spans="1:24" s="7" customFormat="1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</row>
    <row r="260" spans="1:24" s="7" customFormat="1" ht="15.75" customHeight="1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</row>
    <row r="261" spans="1:24" s="7" customFormat="1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</row>
    <row r="262" spans="1:24" s="7" customFormat="1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</row>
    <row r="263" spans="1:24" s="7" customFormat="1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</row>
    <row r="264" spans="1:24" s="7" customFormat="1" ht="35.1" customHeight="1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</row>
    <row r="265" spans="1:24" s="7" customFormat="1" ht="30.75" customHeight="1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</row>
    <row r="266" spans="1:24" s="7" customFormat="1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X266" s="7">
        <f>37195786+53791160</f>
        <v>90986946</v>
      </c>
    </row>
    <row r="267" spans="1:24" s="7" customFormat="1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</row>
    <row r="268" spans="1:24" s="7" customFormat="1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</row>
    <row r="269" spans="1:24" s="7" customFormat="1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</row>
    <row r="270" spans="1:24" s="7" customFormat="1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</row>
    <row r="271" spans="1:24" s="7" customFormat="1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</row>
    <row r="272" spans="1:24" s="7" customFormat="1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</row>
    <row r="273" spans="1:42" s="7" customFormat="1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</row>
    <row r="274" spans="1:42" s="7" customFormat="1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</row>
    <row r="275" spans="1:42" s="7" customFormat="1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</row>
    <row r="276" spans="1:42" s="7" customFormat="1" ht="15.75" customHeight="1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</row>
    <row r="277" spans="1:42" s="7" customFormat="1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</row>
    <row r="278" spans="1:42" s="7" customFormat="1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</row>
    <row r="279" spans="1:42" s="200" customFormat="1" ht="30.75" customHeight="1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</row>
    <row r="280" spans="1:42" s="7" customFormat="1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</row>
    <row r="281" spans="1:42" s="7" customFormat="1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</row>
    <row r="282" spans="1:42" s="7" customFormat="1" ht="15.75" customHeight="1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</row>
    <row r="283" spans="1:42" s="7" customFormat="1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</row>
    <row r="284" spans="1:42" s="200" customFormat="1" ht="36" customHeight="1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</row>
    <row r="285" spans="1:42" s="7" customFormat="1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</row>
    <row r="286" spans="1:42" s="7" customFormat="1" ht="15.75" customHeight="1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</row>
    <row r="287" spans="1:42" s="7" customFormat="1" ht="30.75" customHeight="1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</row>
    <row r="288" spans="1:42" s="7" customFormat="1" ht="15.75" customHeight="1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</row>
    <row r="289" spans="1:21" s="7" customFormat="1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</row>
    <row r="290" spans="1:21" s="7" customFormat="1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</row>
    <row r="291" spans="1:21" s="7" customFormat="1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</row>
    <row r="292" spans="1:21" ht="24" customHeight="1" x14ac:dyDescent="0.25"/>
    <row r="293" spans="1:21" ht="52.5" customHeight="1" x14ac:dyDescent="0.25"/>
    <row r="294" spans="1:21" ht="43.5" customHeight="1" x14ac:dyDescent="0.25"/>
    <row r="295" spans="1:21" ht="48.75" customHeight="1" x14ac:dyDescent="0.25"/>
    <row r="296" spans="1:21" ht="45.75" customHeight="1" x14ac:dyDescent="0.25"/>
  </sheetData>
  <mergeCells count="301">
    <mergeCell ref="K208:L208"/>
    <mergeCell ref="I9:I10"/>
    <mergeCell ref="J9:J10"/>
    <mergeCell ref="K9:N9"/>
    <mergeCell ref="O9:O10"/>
    <mergeCell ref="P9:U10"/>
    <mergeCell ref="P11:U11"/>
    <mergeCell ref="B1:U1"/>
    <mergeCell ref="B2:J2"/>
    <mergeCell ref="B4:J4"/>
    <mergeCell ref="B6:U6"/>
    <mergeCell ref="B8:F8"/>
    <mergeCell ref="B9:D9"/>
    <mergeCell ref="E9:E10"/>
    <mergeCell ref="F9:F10"/>
    <mergeCell ref="G9:G10"/>
    <mergeCell ref="H9:H10"/>
    <mergeCell ref="P14:U14"/>
    <mergeCell ref="B16:B17"/>
    <mergeCell ref="C16:C17"/>
    <mergeCell ref="D16:D17"/>
    <mergeCell ref="E16:F17"/>
    <mergeCell ref="E18:F18"/>
    <mergeCell ref="B13:F13"/>
    <mergeCell ref="B14:D14"/>
    <mergeCell ref="E14:F15"/>
    <mergeCell ref="G14:J14"/>
    <mergeCell ref="K14:N14"/>
    <mergeCell ref="O14:O15"/>
    <mergeCell ref="H23:H24"/>
    <mergeCell ref="I23:I24"/>
    <mergeCell ref="J23:J24"/>
    <mergeCell ref="K23:N23"/>
    <mergeCell ref="O23:O24"/>
    <mergeCell ref="P23:U24"/>
    <mergeCell ref="E19:F19"/>
    <mergeCell ref="B22:F22"/>
    <mergeCell ref="B23:D23"/>
    <mergeCell ref="E23:E24"/>
    <mergeCell ref="F23:F24"/>
    <mergeCell ref="G23:G24"/>
    <mergeCell ref="B30:B32"/>
    <mergeCell ref="C30:C32"/>
    <mergeCell ref="D30:D32"/>
    <mergeCell ref="E30:F32"/>
    <mergeCell ref="B38:F38"/>
    <mergeCell ref="B39:D39"/>
    <mergeCell ref="E39:E40"/>
    <mergeCell ref="F39:F40"/>
    <mergeCell ref="P25:U25"/>
    <mergeCell ref="B27:F27"/>
    <mergeCell ref="B28:D28"/>
    <mergeCell ref="E28:F29"/>
    <mergeCell ref="G28:J28"/>
    <mergeCell ref="K28:N28"/>
    <mergeCell ref="O28:O29"/>
    <mergeCell ref="P28:U28"/>
    <mergeCell ref="B46:B48"/>
    <mergeCell ref="C46:C48"/>
    <mergeCell ref="D46:D48"/>
    <mergeCell ref="E46:F48"/>
    <mergeCell ref="B49:B51"/>
    <mergeCell ref="C49:C51"/>
    <mergeCell ref="D49:D51"/>
    <mergeCell ref="E49:F51"/>
    <mergeCell ref="P39:U40"/>
    <mergeCell ref="P41:U41"/>
    <mergeCell ref="B43:F43"/>
    <mergeCell ref="B44:D44"/>
    <mergeCell ref="E44:F45"/>
    <mergeCell ref="G44:J44"/>
    <mergeCell ref="K44:N44"/>
    <mergeCell ref="O44:O45"/>
    <mergeCell ref="P44:U44"/>
    <mergeCell ref="G39:G40"/>
    <mergeCell ref="H39:H40"/>
    <mergeCell ref="I39:I40"/>
    <mergeCell ref="J39:J40"/>
    <mergeCell ref="K39:N39"/>
    <mergeCell ref="O39:O40"/>
    <mergeCell ref="P65:U66"/>
    <mergeCell ref="P67:U67"/>
    <mergeCell ref="B64:F64"/>
    <mergeCell ref="B65:D65"/>
    <mergeCell ref="E65:E66"/>
    <mergeCell ref="F65:F66"/>
    <mergeCell ref="G65:G66"/>
    <mergeCell ref="H65:H66"/>
    <mergeCell ref="B52:B55"/>
    <mergeCell ref="C52:C55"/>
    <mergeCell ref="D52:D55"/>
    <mergeCell ref="E52:F55"/>
    <mergeCell ref="E56:F56"/>
    <mergeCell ref="B57:B59"/>
    <mergeCell ref="C57:C59"/>
    <mergeCell ref="D57:D59"/>
    <mergeCell ref="E57:F59"/>
    <mergeCell ref="B69:F69"/>
    <mergeCell ref="B70:D70"/>
    <mergeCell ref="E70:F71"/>
    <mergeCell ref="G70:J70"/>
    <mergeCell ref="K70:N70"/>
    <mergeCell ref="O70:O71"/>
    <mergeCell ref="I65:I66"/>
    <mergeCell ref="J65:J66"/>
    <mergeCell ref="K65:N65"/>
    <mergeCell ref="O65:O66"/>
    <mergeCell ref="B76:B80"/>
    <mergeCell ref="C76:C80"/>
    <mergeCell ref="D76:D80"/>
    <mergeCell ref="E76:F80"/>
    <mergeCell ref="B85:F85"/>
    <mergeCell ref="B86:D86"/>
    <mergeCell ref="E86:E87"/>
    <mergeCell ref="F86:F87"/>
    <mergeCell ref="P70:U70"/>
    <mergeCell ref="E72:F72"/>
    <mergeCell ref="E73:F73"/>
    <mergeCell ref="B74:B75"/>
    <mergeCell ref="C74:C75"/>
    <mergeCell ref="D74:D75"/>
    <mergeCell ref="E74:F75"/>
    <mergeCell ref="B93:B94"/>
    <mergeCell ref="C93:C94"/>
    <mergeCell ref="D93:D94"/>
    <mergeCell ref="E93:F94"/>
    <mergeCell ref="B99:F99"/>
    <mergeCell ref="B100:D100"/>
    <mergeCell ref="E100:E101"/>
    <mergeCell ref="F100:F101"/>
    <mergeCell ref="P86:U87"/>
    <mergeCell ref="P88:U88"/>
    <mergeCell ref="B90:F90"/>
    <mergeCell ref="B91:D91"/>
    <mergeCell ref="E91:F92"/>
    <mergeCell ref="G91:J91"/>
    <mergeCell ref="K91:N91"/>
    <mergeCell ref="O91:O92"/>
    <mergeCell ref="P91:U91"/>
    <mergeCell ref="G86:G87"/>
    <mergeCell ref="H86:H87"/>
    <mergeCell ref="I86:I87"/>
    <mergeCell ref="J86:J87"/>
    <mergeCell ref="K86:N86"/>
    <mergeCell ref="O86:O87"/>
    <mergeCell ref="P100:U101"/>
    <mergeCell ref="P102:U102"/>
    <mergeCell ref="B105:F105"/>
    <mergeCell ref="B106:D106"/>
    <mergeCell ref="E106:F107"/>
    <mergeCell ref="G106:J106"/>
    <mergeCell ref="K106:N106"/>
    <mergeCell ref="O106:O107"/>
    <mergeCell ref="P106:U106"/>
    <mergeCell ref="G100:G101"/>
    <mergeCell ref="H100:H101"/>
    <mergeCell ref="I100:I101"/>
    <mergeCell ref="J100:J101"/>
    <mergeCell ref="K100:N100"/>
    <mergeCell ref="O100:O101"/>
    <mergeCell ref="H112:H113"/>
    <mergeCell ref="I112:I113"/>
    <mergeCell ref="J112:J113"/>
    <mergeCell ref="K112:N112"/>
    <mergeCell ref="O112:O113"/>
    <mergeCell ref="P112:U113"/>
    <mergeCell ref="E108:F108"/>
    <mergeCell ref="B111:F111"/>
    <mergeCell ref="B112:D112"/>
    <mergeCell ref="E112:E113"/>
    <mergeCell ref="F112:F113"/>
    <mergeCell ref="G112:G113"/>
    <mergeCell ref="E119:F119"/>
    <mergeCell ref="E120:F120"/>
    <mergeCell ref="E121:F121"/>
    <mergeCell ref="B125:F125"/>
    <mergeCell ref="B126:D126"/>
    <mergeCell ref="E126:E127"/>
    <mergeCell ref="F126:F127"/>
    <mergeCell ref="P114:U114"/>
    <mergeCell ref="B116:F116"/>
    <mergeCell ref="B117:D117"/>
    <mergeCell ref="E117:F118"/>
    <mergeCell ref="G117:J117"/>
    <mergeCell ref="K117:N117"/>
    <mergeCell ref="O117:O118"/>
    <mergeCell ref="P117:U117"/>
    <mergeCell ref="P126:U127"/>
    <mergeCell ref="P128:U128"/>
    <mergeCell ref="B133:F133"/>
    <mergeCell ref="B134:D134"/>
    <mergeCell ref="E134:F135"/>
    <mergeCell ref="G134:J134"/>
    <mergeCell ref="K134:N134"/>
    <mergeCell ref="O134:O135"/>
    <mergeCell ref="P134:U134"/>
    <mergeCell ref="G126:G127"/>
    <mergeCell ref="H126:H127"/>
    <mergeCell ref="I126:I127"/>
    <mergeCell ref="J126:J127"/>
    <mergeCell ref="K126:N126"/>
    <mergeCell ref="O126:O127"/>
    <mergeCell ref="H143:H144"/>
    <mergeCell ref="I143:I144"/>
    <mergeCell ref="J143:J144"/>
    <mergeCell ref="K143:N143"/>
    <mergeCell ref="O143:O144"/>
    <mergeCell ref="P143:U144"/>
    <mergeCell ref="E136:F136"/>
    <mergeCell ref="B142:F142"/>
    <mergeCell ref="B143:D143"/>
    <mergeCell ref="E143:E144"/>
    <mergeCell ref="F143:F144"/>
    <mergeCell ref="G143:G144"/>
    <mergeCell ref="E150:F150"/>
    <mergeCell ref="E151:F151"/>
    <mergeCell ref="E152:F152"/>
    <mergeCell ref="B155:F155"/>
    <mergeCell ref="B156:D156"/>
    <mergeCell ref="E156:E157"/>
    <mergeCell ref="F156:F157"/>
    <mergeCell ref="P145:U145"/>
    <mergeCell ref="B147:F147"/>
    <mergeCell ref="B148:D148"/>
    <mergeCell ref="E148:F149"/>
    <mergeCell ref="G148:J148"/>
    <mergeCell ref="K148:N148"/>
    <mergeCell ref="O148:O149"/>
    <mergeCell ref="P148:U148"/>
    <mergeCell ref="B163:B165"/>
    <mergeCell ref="C163:C165"/>
    <mergeCell ref="D163:D165"/>
    <mergeCell ref="E163:F165"/>
    <mergeCell ref="B168:F168"/>
    <mergeCell ref="B169:D169"/>
    <mergeCell ref="E169:E170"/>
    <mergeCell ref="F169:F170"/>
    <mergeCell ref="P156:U157"/>
    <mergeCell ref="P158:U158"/>
    <mergeCell ref="B160:F160"/>
    <mergeCell ref="B161:D161"/>
    <mergeCell ref="E161:F162"/>
    <mergeCell ref="G161:J161"/>
    <mergeCell ref="K161:N161"/>
    <mergeCell ref="O161:O162"/>
    <mergeCell ref="P161:U161"/>
    <mergeCell ref="G156:G157"/>
    <mergeCell ref="H156:H157"/>
    <mergeCell ref="I156:I157"/>
    <mergeCell ref="J156:J157"/>
    <mergeCell ref="K156:N156"/>
    <mergeCell ref="O156:O157"/>
    <mergeCell ref="E176:F176"/>
    <mergeCell ref="E177:F177"/>
    <mergeCell ref="E178:F178"/>
    <mergeCell ref="E179:F179"/>
    <mergeCell ref="E180:F180"/>
    <mergeCell ref="E181:F181"/>
    <mergeCell ref="P169:U170"/>
    <mergeCell ref="P171:U171"/>
    <mergeCell ref="B173:F173"/>
    <mergeCell ref="B174:D174"/>
    <mergeCell ref="E174:F175"/>
    <mergeCell ref="G174:J174"/>
    <mergeCell ref="K174:N174"/>
    <mergeCell ref="O174:O175"/>
    <mergeCell ref="P174:U174"/>
    <mergeCell ref="G169:G170"/>
    <mergeCell ref="H169:H170"/>
    <mergeCell ref="I169:I170"/>
    <mergeCell ref="J169:J170"/>
    <mergeCell ref="K169:N169"/>
    <mergeCell ref="O169:O170"/>
    <mergeCell ref="H188:H189"/>
    <mergeCell ref="I188:I189"/>
    <mergeCell ref="J188:J189"/>
    <mergeCell ref="K188:N188"/>
    <mergeCell ref="O188:O189"/>
    <mergeCell ref="P188:U189"/>
    <mergeCell ref="E182:F182"/>
    <mergeCell ref="B187:F187"/>
    <mergeCell ref="B188:D188"/>
    <mergeCell ref="E188:E189"/>
    <mergeCell ref="F188:F189"/>
    <mergeCell ref="G188:G189"/>
    <mergeCell ref="B195:B198"/>
    <mergeCell ref="C195:C198"/>
    <mergeCell ref="D195:D198"/>
    <mergeCell ref="E195:F198"/>
    <mergeCell ref="B199:B204"/>
    <mergeCell ref="C199:C204"/>
    <mergeCell ref="D199:D204"/>
    <mergeCell ref="E199:F204"/>
    <mergeCell ref="P190:U190"/>
    <mergeCell ref="B192:F192"/>
    <mergeCell ref="B193:D193"/>
    <mergeCell ref="E193:F194"/>
    <mergeCell ref="G193:J193"/>
    <mergeCell ref="K193:N193"/>
    <mergeCell ref="O193:O194"/>
    <mergeCell ref="P193:U193"/>
  </mergeCells>
  <pageMargins left="0.39370078740157483" right="0.19685039370078741" top="0.47244094488188981" bottom="0.59055118110236227" header="0.31496062992125984" footer="0.31496062992125984"/>
  <pageSetup paperSize="163" scale="60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96"/>
  <sheetViews>
    <sheetView topLeftCell="B17" zoomScale="51" zoomScaleNormal="51" workbookViewId="0">
      <selection activeCell="B17" sqref="B17:B21"/>
    </sheetView>
  </sheetViews>
  <sheetFormatPr baseColWidth="10" defaultRowHeight="15" x14ac:dyDescent="0.25"/>
  <cols>
    <col min="1" max="1" width="2.85546875" customWidth="1"/>
    <col min="2" max="2" width="4.42578125" customWidth="1"/>
    <col min="3" max="3" width="12.42578125" customWidth="1"/>
    <col min="4" max="4" width="4.7109375" customWidth="1"/>
    <col min="5" max="5" width="18.85546875" customWidth="1"/>
    <col min="6" max="6" width="22" customWidth="1"/>
    <col min="7" max="7" width="25" customWidth="1"/>
    <col min="8" max="8" width="16.140625" customWidth="1"/>
    <col min="9" max="9" width="17" customWidth="1"/>
    <col min="10" max="11" width="17.5703125" customWidth="1"/>
    <col min="12" max="12" width="15.42578125" customWidth="1"/>
    <col min="13" max="13" width="20.140625" customWidth="1"/>
    <col min="14" max="14" width="17.28515625" customWidth="1"/>
    <col min="15" max="15" width="18.7109375" customWidth="1"/>
    <col min="16" max="16" width="4.28515625" customWidth="1"/>
    <col min="17" max="17" width="7.5703125" customWidth="1"/>
    <col min="18" max="18" width="4.85546875" customWidth="1"/>
    <col min="19" max="19" width="4.5703125" customWidth="1"/>
    <col min="20" max="20" width="4.28515625" customWidth="1"/>
    <col min="21" max="21" width="4.140625" customWidth="1"/>
    <col min="23" max="23" width="12.28515625" bestFit="1" customWidth="1"/>
    <col min="24" max="24" width="11.5703125" bestFit="1" customWidth="1"/>
    <col min="25" max="25" width="21.140625" customWidth="1"/>
    <col min="26" max="26" width="13.7109375" bestFit="1" customWidth="1"/>
  </cols>
  <sheetData>
    <row r="1" spans="1:22" ht="14.25" customHeight="1" x14ac:dyDescent="0.25">
      <c r="A1" s="1"/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</row>
    <row r="2" spans="1:22" s="6" customFormat="1" ht="21.75" customHeight="1" x14ac:dyDescent="0.3">
      <c r="B2" s="359" t="s">
        <v>245</v>
      </c>
      <c r="C2" s="359"/>
      <c r="D2" s="359"/>
      <c r="E2" s="359"/>
      <c r="F2" s="359"/>
      <c r="G2" s="359"/>
      <c r="H2" s="359"/>
      <c r="I2" s="359"/>
      <c r="J2" s="359"/>
      <c r="K2" s="36"/>
      <c r="L2" s="36"/>
      <c r="M2" s="37"/>
      <c r="N2" s="36"/>
      <c r="O2" s="36"/>
    </row>
    <row r="3" spans="1:22" s="6" customFormat="1" ht="21.75" customHeight="1" x14ac:dyDescent="0.3">
      <c r="B3" s="246"/>
      <c r="C3" s="246"/>
      <c r="D3" s="246"/>
      <c r="E3" s="246"/>
      <c r="F3" s="246"/>
      <c r="G3" s="246"/>
      <c r="H3" s="246"/>
      <c r="I3" s="246"/>
      <c r="J3" s="246"/>
      <c r="K3" s="36"/>
      <c r="L3" s="36"/>
      <c r="M3" s="37"/>
      <c r="N3" s="36"/>
      <c r="O3" s="36"/>
    </row>
    <row r="4" spans="1:22" s="6" customFormat="1" ht="18.75" customHeight="1" x14ac:dyDescent="0.3">
      <c r="B4" s="359" t="s">
        <v>76</v>
      </c>
      <c r="C4" s="359"/>
      <c r="D4" s="359"/>
      <c r="E4" s="359"/>
      <c r="F4" s="359"/>
      <c r="G4" s="359"/>
      <c r="H4" s="359"/>
      <c r="I4" s="359"/>
      <c r="J4" s="359"/>
      <c r="K4" s="36"/>
      <c r="L4" s="36"/>
      <c r="M4" s="36"/>
      <c r="N4" s="36"/>
      <c r="O4" s="36"/>
    </row>
    <row r="5" spans="1:22" s="6" customFormat="1" ht="18.75" customHeight="1" x14ac:dyDescent="0.3">
      <c r="B5" s="246"/>
      <c r="C5" s="246"/>
      <c r="D5" s="246"/>
      <c r="E5" s="246"/>
      <c r="F5" s="246"/>
      <c r="G5" s="246"/>
      <c r="H5" s="246"/>
      <c r="I5" s="246"/>
      <c r="J5" s="246"/>
      <c r="K5" s="36"/>
      <c r="L5" s="36"/>
      <c r="M5" s="36"/>
      <c r="N5" s="36"/>
      <c r="O5" s="36"/>
    </row>
    <row r="6" spans="1:22" s="6" customFormat="1" ht="42" customHeight="1" x14ac:dyDescent="0.3">
      <c r="B6" s="360" t="s">
        <v>75</v>
      </c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</row>
    <row r="7" spans="1:22" ht="17.25" x14ac:dyDescent="0.3">
      <c r="A7" s="2"/>
      <c r="B7" s="33"/>
      <c r="C7" s="33"/>
      <c r="D7" s="33"/>
      <c r="E7" s="33"/>
      <c r="F7" s="33"/>
      <c r="G7" s="33"/>
      <c r="H7" s="33"/>
      <c r="I7" s="33"/>
      <c r="J7" s="33"/>
      <c r="K7" s="3"/>
      <c r="L7" s="4"/>
      <c r="M7" s="4"/>
      <c r="N7" s="4"/>
      <c r="O7" s="4"/>
      <c r="P7" s="1"/>
      <c r="Q7" s="1"/>
      <c r="R7" s="1"/>
      <c r="S7" s="1"/>
      <c r="T7" s="1"/>
      <c r="U7" s="1"/>
    </row>
    <row r="8" spans="1:22" s="7" customFormat="1" x14ac:dyDescent="0.25"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</row>
    <row r="9" spans="1:22" s="5" customFormat="1" ht="16.5" customHeight="1" thickBot="1" x14ac:dyDescent="0.35">
      <c r="A9" s="7"/>
      <c r="B9" s="295" t="s">
        <v>77</v>
      </c>
      <c r="C9" s="295"/>
      <c r="D9" s="295"/>
      <c r="E9" s="295"/>
      <c r="F9" s="295"/>
      <c r="G9" s="140"/>
      <c r="H9" s="156"/>
      <c r="I9" s="140"/>
      <c r="J9" s="14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</row>
    <row r="10" spans="1:22" s="5" customFormat="1" ht="43.5" customHeight="1" thickTop="1" thickBot="1" x14ac:dyDescent="0.3">
      <c r="A10" s="7"/>
      <c r="B10" s="296" t="s">
        <v>0</v>
      </c>
      <c r="C10" s="296"/>
      <c r="D10" s="296"/>
      <c r="E10" s="296" t="s">
        <v>1</v>
      </c>
      <c r="F10" s="296" t="s">
        <v>2</v>
      </c>
      <c r="G10" s="319" t="s">
        <v>3</v>
      </c>
      <c r="H10" s="319" t="s">
        <v>4</v>
      </c>
      <c r="I10" s="319" t="s">
        <v>5</v>
      </c>
      <c r="J10" s="319" t="s">
        <v>6</v>
      </c>
      <c r="K10" s="319" t="s">
        <v>7</v>
      </c>
      <c r="L10" s="319"/>
      <c r="M10" s="319"/>
      <c r="N10" s="319"/>
      <c r="O10" s="296" t="s">
        <v>8</v>
      </c>
      <c r="P10" s="296" t="s">
        <v>9</v>
      </c>
      <c r="Q10" s="296"/>
      <c r="R10" s="296"/>
      <c r="S10" s="296"/>
      <c r="T10" s="296"/>
      <c r="U10" s="296"/>
    </row>
    <row r="11" spans="1:22" s="7" customFormat="1" ht="66.75" customHeight="1" thickTop="1" thickBot="1" x14ac:dyDescent="0.3">
      <c r="B11" s="234" t="s">
        <v>10</v>
      </c>
      <c r="C11" s="234" t="s">
        <v>11</v>
      </c>
      <c r="D11" s="234" t="s">
        <v>12</v>
      </c>
      <c r="E11" s="296"/>
      <c r="F11" s="296"/>
      <c r="G11" s="319"/>
      <c r="H11" s="319"/>
      <c r="I11" s="319"/>
      <c r="J11" s="319"/>
      <c r="K11" s="12" t="s">
        <v>13</v>
      </c>
      <c r="L11" s="12" t="s">
        <v>14</v>
      </c>
      <c r="M11" s="12" t="s">
        <v>116</v>
      </c>
      <c r="N11" s="12" t="s">
        <v>15</v>
      </c>
      <c r="O11" s="296"/>
      <c r="P11" s="296"/>
      <c r="Q11" s="296"/>
      <c r="R11" s="296"/>
      <c r="S11" s="296"/>
      <c r="T11" s="296"/>
      <c r="U11" s="296"/>
    </row>
    <row r="12" spans="1:22" s="7" customFormat="1" ht="186.75" customHeight="1" thickTop="1" thickBot="1" x14ac:dyDescent="0.3">
      <c r="B12" s="235" t="s">
        <v>79</v>
      </c>
      <c r="C12" s="235" t="s">
        <v>80</v>
      </c>
      <c r="D12" s="235">
        <v>6</v>
      </c>
      <c r="E12" s="41" t="s">
        <v>151</v>
      </c>
      <c r="F12" s="239" t="s">
        <v>68</v>
      </c>
      <c r="G12" s="235" t="s">
        <v>69</v>
      </c>
      <c r="H12" s="235" t="s">
        <v>70</v>
      </c>
      <c r="I12" s="235"/>
      <c r="J12" s="235">
        <f>SUM(K12:N12)</f>
        <v>52004</v>
      </c>
      <c r="K12" s="247">
        <f>3739+905</f>
        <v>4644</v>
      </c>
      <c r="L12" s="247">
        <f>4261+13304</f>
        <v>17565</v>
      </c>
      <c r="M12" s="247">
        <f>3773+7611</f>
        <v>11384</v>
      </c>
      <c r="N12" s="45">
        <f>3750+14661</f>
        <v>18411</v>
      </c>
      <c r="O12" s="50">
        <f>SUM(J17:J92)</f>
        <v>90986945.680000007</v>
      </c>
      <c r="P12" s="316" t="s">
        <v>71</v>
      </c>
      <c r="Q12" s="317"/>
      <c r="R12" s="317"/>
      <c r="S12" s="317"/>
      <c r="T12" s="317"/>
      <c r="U12" s="318"/>
    </row>
    <row r="13" spans="1:22" s="7" customFormat="1" ht="21" customHeight="1" x14ac:dyDescent="0.25">
      <c r="B13" s="87"/>
      <c r="C13" s="87"/>
      <c r="D13" s="87"/>
      <c r="E13" s="91"/>
      <c r="F13" s="92"/>
      <c r="G13" s="87"/>
      <c r="H13" s="87"/>
      <c r="I13" s="87"/>
      <c r="J13" s="87"/>
      <c r="K13" s="78"/>
      <c r="L13" s="78"/>
      <c r="M13" s="78"/>
      <c r="N13" s="18"/>
      <c r="O13" s="87"/>
      <c r="P13" s="87"/>
      <c r="Q13" s="87"/>
      <c r="R13" s="87"/>
      <c r="S13" s="87"/>
      <c r="T13" s="87"/>
      <c r="U13" s="87"/>
    </row>
    <row r="14" spans="1:22" s="5" customFormat="1" ht="39" customHeight="1" thickBot="1" x14ac:dyDescent="0.35">
      <c r="A14" s="7"/>
      <c r="B14" s="295" t="s">
        <v>78</v>
      </c>
      <c r="C14" s="295"/>
      <c r="D14" s="295"/>
      <c r="E14" s="295"/>
      <c r="F14" s="295"/>
      <c r="G14" s="7"/>
      <c r="H14" s="65"/>
      <c r="I14" s="7"/>
      <c r="J14" s="7"/>
      <c r="K14" s="7"/>
      <c r="L14" s="7"/>
      <c r="M14" s="7"/>
      <c r="N14" s="64"/>
      <c r="O14" s="7"/>
      <c r="P14" s="7"/>
      <c r="Q14" s="7"/>
      <c r="R14" s="7"/>
      <c r="S14" s="7"/>
      <c r="T14" s="7"/>
      <c r="U14" s="7"/>
    </row>
    <row r="15" spans="1:22" s="5" customFormat="1" ht="57" customHeight="1" thickTop="1" thickBot="1" x14ac:dyDescent="0.3">
      <c r="A15" s="7"/>
      <c r="B15" s="296" t="s">
        <v>0</v>
      </c>
      <c r="C15" s="296"/>
      <c r="D15" s="296"/>
      <c r="E15" s="296" t="s">
        <v>19</v>
      </c>
      <c r="F15" s="296"/>
      <c r="G15" s="319" t="s">
        <v>20</v>
      </c>
      <c r="H15" s="319"/>
      <c r="I15" s="319"/>
      <c r="J15" s="319"/>
      <c r="K15" s="319" t="s">
        <v>21</v>
      </c>
      <c r="L15" s="319"/>
      <c r="M15" s="319"/>
      <c r="N15" s="319"/>
      <c r="O15" s="296" t="s">
        <v>22</v>
      </c>
      <c r="P15" s="319" t="s">
        <v>23</v>
      </c>
      <c r="Q15" s="319"/>
      <c r="R15" s="319"/>
      <c r="S15" s="319"/>
      <c r="T15" s="319"/>
      <c r="U15" s="319"/>
    </row>
    <row r="16" spans="1:22" s="7" customFormat="1" ht="45" customHeight="1" thickTop="1" thickBot="1" x14ac:dyDescent="0.3">
      <c r="B16" s="252" t="s">
        <v>10</v>
      </c>
      <c r="C16" s="252" t="s">
        <v>11</v>
      </c>
      <c r="D16" s="252" t="s">
        <v>12</v>
      </c>
      <c r="E16" s="311"/>
      <c r="F16" s="311"/>
      <c r="G16" s="62" t="s">
        <v>36</v>
      </c>
      <c r="H16" s="62" t="s">
        <v>24</v>
      </c>
      <c r="I16" s="62" t="s">
        <v>25</v>
      </c>
      <c r="J16" s="62" t="s">
        <v>26</v>
      </c>
      <c r="K16" s="62" t="s">
        <v>13</v>
      </c>
      <c r="L16" s="62" t="s">
        <v>14</v>
      </c>
      <c r="M16" s="62" t="s">
        <v>116</v>
      </c>
      <c r="N16" s="62" t="s">
        <v>15</v>
      </c>
      <c r="O16" s="311"/>
      <c r="P16" s="283" t="s">
        <v>27</v>
      </c>
      <c r="Q16" s="283" t="s">
        <v>28</v>
      </c>
      <c r="R16" s="283" t="s">
        <v>29</v>
      </c>
      <c r="S16" s="283" t="s">
        <v>30</v>
      </c>
      <c r="T16" s="283" t="s">
        <v>31</v>
      </c>
      <c r="U16" s="283" t="s">
        <v>32</v>
      </c>
      <c r="V16" s="15"/>
    </row>
    <row r="17" spans="1:22" s="7" customFormat="1" ht="41.25" customHeight="1" thickTop="1" thickBot="1" x14ac:dyDescent="0.3">
      <c r="B17" s="384" t="s">
        <v>79</v>
      </c>
      <c r="C17" s="384" t="s">
        <v>80</v>
      </c>
      <c r="D17" s="384">
        <v>6</v>
      </c>
      <c r="E17" s="382" t="s">
        <v>155</v>
      </c>
      <c r="F17" s="383"/>
      <c r="G17" s="284" t="s">
        <v>156</v>
      </c>
      <c r="H17" s="172">
        <v>12</v>
      </c>
      <c r="I17" s="285">
        <v>190000</v>
      </c>
      <c r="J17" s="220">
        <f t="shared" ref="J17:J52" si="0">+H17*I17</f>
        <v>2280000</v>
      </c>
      <c r="K17" s="220">
        <v>570000</v>
      </c>
      <c r="L17" s="127">
        <v>570000</v>
      </c>
      <c r="M17" s="127">
        <v>570000</v>
      </c>
      <c r="N17" s="127">
        <v>570000</v>
      </c>
      <c r="O17" s="122" t="s">
        <v>42</v>
      </c>
      <c r="P17" s="286">
        <v>98</v>
      </c>
      <c r="Q17" s="286">
        <v>2071</v>
      </c>
      <c r="R17" s="122">
        <v>2</v>
      </c>
      <c r="S17" s="122">
        <v>1</v>
      </c>
      <c r="T17" s="122">
        <v>3</v>
      </c>
      <c r="U17" s="122"/>
      <c r="V17" s="15"/>
    </row>
    <row r="18" spans="1:22" s="121" customFormat="1" ht="102.75" customHeight="1" thickBot="1" x14ac:dyDescent="0.3">
      <c r="A18" s="7"/>
      <c r="B18" s="304"/>
      <c r="C18" s="304"/>
      <c r="D18" s="304"/>
      <c r="E18" s="376"/>
      <c r="F18" s="377"/>
      <c r="G18" s="93" t="s">
        <v>157</v>
      </c>
      <c r="H18" s="251">
        <v>4</v>
      </c>
      <c r="I18" s="106">
        <v>35400</v>
      </c>
      <c r="J18" s="159">
        <f t="shared" si="0"/>
        <v>141600</v>
      </c>
      <c r="K18" s="159">
        <v>35400</v>
      </c>
      <c r="L18" s="97">
        <v>35400</v>
      </c>
      <c r="M18" s="97">
        <v>35400</v>
      </c>
      <c r="N18" s="97">
        <v>35400</v>
      </c>
      <c r="O18" s="253" t="s">
        <v>42</v>
      </c>
      <c r="P18" s="254">
        <v>98</v>
      </c>
      <c r="Q18" s="254">
        <v>2071</v>
      </c>
      <c r="R18" s="253">
        <v>2</v>
      </c>
      <c r="S18" s="253">
        <v>8</v>
      </c>
      <c r="T18" s="253">
        <v>5</v>
      </c>
      <c r="U18" s="253">
        <v>1</v>
      </c>
      <c r="V18" s="15"/>
    </row>
    <row r="19" spans="1:22" s="7" customFormat="1" ht="54" customHeight="1" thickBot="1" x14ac:dyDescent="0.3">
      <c r="B19" s="304"/>
      <c r="C19" s="304"/>
      <c r="D19" s="304"/>
      <c r="E19" s="376"/>
      <c r="F19" s="377"/>
      <c r="G19" s="93" t="s">
        <v>237</v>
      </c>
      <c r="H19" s="251">
        <v>12</v>
      </c>
      <c r="I19" s="106">
        <v>580</v>
      </c>
      <c r="J19" s="159">
        <f t="shared" si="0"/>
        <v>6960</v>
      </c>
      <c r="K19" s="159">
        <v>1740</v>
      </c>
      <c r="L19" s="97">
        <v>1740</v>
      </c>
      <c r="M19" s="97">
        <v>1740</v>
      </c>
      <c r="N19" s="97">
        <v>1740</v>
      </c>
      <c r="O19" s="253" t="s">
        <v>42</v>
      </c>
      <c r="P19" s="254">
        <v>98</v>
      </c>
      <c r="Q19" s="254">
        <v>2071</v>
      </c>
      <c r="R19" s="253">
        <v>2</v>
      </c>
      <c r="S19" s="253">
        <v>1</v>
      </c>
      <c r="T19" s="253">
        <v>7</v>
      </c>
      <c r="U19" s="253"/>
    </row>
    <row r="20" spans="1:22" s="7" customFormat="1" ht="23.25" customHeight="1" thickBot="1" x14ac:dyDescent="0.3">
      <c r="B20" s="304"/>
      <c r="C20" s="304"/>
      <c r="D20" s="304"/>
      <c r="E20" s="376"/>
      <c r="F20" s="377"/>
      <c r="G20" s="93" t="s">
        <v>158</v>
      </c>
      <c r="H20" s="251">
        <v>17</v>
      </c>
      <c r="I20" s="106">
        <v>10824</v>
      </c>
      <c r="J20" s="159">
        <f t="shared" si="0"/>
        <v>184008</v>
      </c>
      <c r="K20" s="159"/>
      <c r="L20" s="97"/>
      <c r="M20" s="97">
        <v>184008</v>
      </c>
      <c r="N20" s="97"/>
      <c r="O20" s="253" t="s">
        <v>42</v>
      </c>
      <c r="P20" s="254">
        <v>98</v>
      </c>
      <c r="Q20" s="254">
        <v>2071</v>
      </c>
      <c r="R20" s="253">
        <v>2</v>
      </c>
      <c r="S20" s="253">
        <v>8</v>
      </c>
      <c r="T20" s="253">
        <v>8</v>
      </c>
      <c r="U20" s="253">
        <v>1</v>
      </c>
    </row>
    <row r="21" spans="1:22" s="7" customFormat="1" ht="33.75" customHeight="1" thickBot="1" x14ac:dyDescent="0.3">
      <c r="B21" s="305"/>
      <c r="C21" s="305"/>
      <c r="D21" s="305"/>
      <c r="E21" s="378"/>
      <c r="F21" s="379"/>
      <c r="G21" s="93" t="s">
        <v>159</v>
      </c>
      <c r="H21" s="251">
        <v>12</v>
      </c>
      <c r="I21" s="106">
        <v>2000</v>
      </c>
      <c r="J21" s="159">
        <f t="shared" si="0"/>
        <v>24000</v>
      </c>
      <c r="K21" s="159">
        <v>6000</v>
      </c>
      <c r="L21" s="97">
        <v>6000</v>
      </c>
      <c r="M21" s="97">
        <v>6000</v>
      </c>
      <c r="N21" s="97">
        <v>6000</v>
      </c>
      <c r="O21" s="253" t="s">
        <v>34</v>
      </c>
      <c r="P21" s="278">
        <v>98</v>
      </c>
      <c r="Q21" s="278">
        <v>2071</v>
      </c>
      <c r="R21" s="253">
        <v>2</v>
      </c>
      <c r="S21" s="253">
        <v>4</v>
      </c>
      <c r="T21" s="253">
        <v>3</v>
      </c>
      <c r="U21" s="253"/>
    </row>
    <row r="22" spans="1:22" s="7" customFormat="1" ht="42.75" customHeight="1" thickBot="1" x14ac:dyDescent="0.3">
      <c r="B22" s="304"/>
      <c r="C22" s="303"/>
      <c r="D22" s="303"/>
      <c r="E22" s="380"/>
      <c r="F22" s="381"/>
      <c r="G22" s="93" t="s">
        <v>262</v>
      </c>
      <c r="H22" s="251">
        <v>12</v>
      </c>
      <c r="I22" s="106">
        <v>1800</v>
      </c>
      <c r="J22" s="159">
        <f t="shared" si="0"/>
        <v>21600</v>
      </c>
      <c r="K22" s="159">
        <v>5400</v>
      </c>
      <c r="L22" s="97">
        <v>5400</v>
      </c>
      <c r="M22" s="97">
        <v>5400</v>
      </c>
      <c r="N22" s="97">
        <v>5400</v>
      </c>
      <c r="O22" s="253" t="s">
        <v>42</v>
      </c>
      <c r="P22" s="280">
        <v>98</v>
      </c>
      <c r="Q22" s="280">
        <v>2071</v>
      </c>
      <c r="R22" s="253">
        <v>2</v>
      </c>
      <c r="S22" s="253">
        <v>1</v>
      </c>
      <c r="T22" s="253">
        <v>8</v>
      </c>
      <c r="U22" s="253"/>
    </row>
    <row r="23" spans="1:22" s="7" customFormat="1" ht="39.75" customHeight="1" thickBot="1" x14ac:dyDescent="0.3">
      <c r="B23" s="304"/>
      <c r="C23" s="304"/>
      <c r="D23" s="304"/>
      <c r="E23" s="376"/>
      <c r="F23" s="377"/>
      <c r="G23" s="93" t="s">
        <v>160</v>
      </c>
      <c r="H23" s="251">
        <v>52</v>
      </c>
      <c r="I23" s="106">
        <v>5500</v>
      </c>
      <c r="J23" s="159">
        <f t="shared" si="0"/>
        <v>286000</v>
      </c>
      <c r="K23" s="159">
        <v>71500</v>
      </c>
      <c r="L23" s="97">
        <v>71500</v>
      </c>
      <c r="M23" s="97">
        <v>71500</v>
      </c>
      <c r="N23" s="97">
        <v>71500</v>
      </c>
      <c r="O23" s="253" t="s">
        <v>34</v>
      </c>
      <c r="P23" s="254">
        <v>98</v>
      </c>
      <c r="Q23" s="254">
        <v>2071</v>
      </c>
      <c r="R23" s="253">
        <v>3</v>
      </c>
      <c r="S23" s="253">
        <v>1</v>
      </c>
      <c r="T23" s="253">
        <v>1</v>
      </c>
      <c r="U23" s="253">
        <v>1</v>
      </c>
    </row>
    <row r="24" spans="1:22" s="7" customFormat="1" ht="38.25" customHeight="1" thickBot="1" x14ac:dyDescent="0.3">
      <c r="B24" s="304"/>
      <c r="C24" s="304"/>
      <c r="D24" s="304"/>
      <c r="E24" s="376"/>
      <c r="F24" s="377"/>
      <c r="G24" s="93" t="s">
        <v>161</v>
      </c>
      <c r="H24" s="251">
        <v>12</v>
      </c>
      <c r="I24" s="106">
        <v>125000</v>
      </c>
      <c r="J24" s="159">
        <f t="shared" si="0"/>
        <v>1500000</v>
      </c>
      <c r="K24" s="159">
        <v>500000</v>
      </c>
      <c r="L24" s="97">
        <v>500000</v>
      </c>
      <c r="M24" s="97">
        <v>500000</v>
      </c>
      <c r="N24" s="97">
        <v>500000</v>
      </c>
      <c r="O24" s="253" t="s">
        <v>72</v>
      </c>
      <c r="P24" s="254">
        <v>98</v>
      </c>
      <c r="Q24" s="254">
        <v>2071</v>
      </c>
      <c r="R24" s="253">
        <v>2</v>
      </c>
      <c r="S24" s="253">
        <v>8</v>
      </c>
      <c r="T24" s="253">
        <v>2</v>
      </c>
      <c r="U24" s="253"/>
    </row>
    <row r="25" spans="1:22" s="7" customFormat="1" ht="76.5" customHeight="1" thickBot="1" x14ac:dyDescent="0.3">
      <c r="B25" s="305"/>
      <c r="C25" s="305"/>
      <c r="D25" s="305"/>
      <c r="E25" s="378"/>
      <c r="F25" s="379"/>
      <c r="G25" s="93" t="s">
        <v>162</v>
      </c>
      <c r="H25" s="251">
        <v>20</v>
      </c>
      <c r="I25" s="106">
        <v>950</v>
      </c>
      <c r="J25" s="159">
        <f t="shared" si="0"/>
        <v>19000</v>
      </c>
      <c r="K25" s="159">
        <v>4750</v>
      </c>
      <c r="L25" s="97">
        <v>4750</v>
      </c>
      <c r="M25" s="97">
        <v>4750</v>
      </c>
      <c r="N25" s="97">
        <v>4750</v>
      </c>
      <c r="O25" s="253" t="s">
        <v>42</v>
      </c>
      <c r="P25" s="278">
        <v>98</v>
      </c>
      <c r="Q25" s="278">
        <v>2071</v>
      </c>
      <c r="R25" s="253">
        <v>2</v>
      </c>
      <c r="S25" s="253">
        <v>8</v>
      </c>
      <c r="T25" s="253">
        <v>5</v>
      </c>
      <c r="U25" s="253">
        <v>2</v>
      </c>
    </row>
    <row r="26" spans="1:22" s="7" customFormat="1" ht="84" customHeight="1" thickBot="1" x14ac:dyDescent="0.3">
      <c r="B26" s="232" t="s">
        <v>79</v>
      </c>
      <c r="C26" s="250" t="s">
        <v>80</v>
      </c>
      <c r="D26" s="250">
        <v>6</v>
      </c>
      <c r="E26" s="373" t="s">
        <v>163</v>
      </c>
      <c r="F26" s="374"/>
      <c r="G26" s="272" t="s">
        <v>152</v>
      </c>
      <c r="H26" s="273">
        <v>12</v>
      </c>
      <c r="I26" s="274">
        <v>19407</v>
      </c>
      <c r="J26" s="275">
        <f t="shared" si="0"/>
        <v>232884</v>
      </c>
      <c r="K26" s="275">
        <v>58221</v>
      </c>
      <c r="L26" s="276">
        <v>58221</v>
      </c>
      <c r="M26" s="276">
        <v>58221</v>
      </c>
      <c r="N26" s="276">
        <v>58221</v>
      </c>
      <c r="O26" s="250" t="s">
        <v>42</v>
      </c>
      <c r="P26" s="277">
        <v>98</v>
      </c>
      <c r="Q26" s="277">
        <v>2071</v>
      </c>
      <c r="R26" s="250">
        <v>2</v>
      </c>
      <c r="S26" s="250">
        <v>1</v>
      </c>
      <c r="T26" s="250">
        <v>5</v>
      </c>
      <c r="U26" s="250"/>
    </row>
    <row r="27" spans="1:22" s="7" customFormat="1" ht="42.75" customHeight="1" thickBot="1" x14ac:dyDescent="0.3">
      <c r="B27" s="303" t="s">
        <v>79</v>
      </c>
      <c r="C27" s="303" t="s">
        <v>80</v>
      </c>
      <c r="D27" s="303">
        <v>6</v>
      </c>
      <c r="E27" s="299" t="s">
        <v>164</v>
      </c>
      <c r="F27" s="299"/>
      <c r="G27" s="93" t="s">
        <v>165</v>
      </c>
      <c r="H27" s="248">
        <v>1</v>
      </c>
      <c r="I27" s="106">
        <v>990000</v>
      </c>
      <c r="J27" s="159">
        <f t="shared" si="0"/>
        <v>990000</v>
      </c>
      <c r="K27" s="159"/>
      <c r="L27" s="97"/>
      <c r="M27" s="97">
        <v>990000</v>
      </c>
      <c r="N27" s="97"/>
      <c r="O27" s="232" t="s">
        <v>42</v>
      </c>
      <c r="P27" s="243">
        <v>98</v>
      </c>
      <c r="Q27" s="243">
        <v>2071</v>
      </c>
      <c r="R27" s="232">
        <v>2</v>
      </c>
      <c r="S27" s="232">
        <v>6</v>
      </c>
      <c r="T27" s="232">
        <v>2</v>
      </c>
      <c r="U27" s="232"/>
    </row>
    <row r="28" spans="1:22" s="7" customFormat="1" ht="36.75" customHeight="1" thickBot="1" x14ac:dyDescent="0.3">
      <c r="B28" s="304"/>
      <c r="C28" s="304"/>
      <c r="D28" s="304"/>
      <c r="E28" s="299"/>
      <c r="F28" s="299"/>
      <c r="G28" s="93" t="s">
        <v>166</v>
      </c>
      <c r="H28" s="248">
        <v>1</v>
      </c>
      <c r="I28" s="106">
        <v>1900000</v>
      </c>
      <c r="J28" s="159">
        <f t="shared" si="0"/>
        <v>1900000</v>
      </c>
      <c r="K28" s="159">
        <v>420000</v>
      </c>
      <c r="L28" s="97">
        <v>480000</v>
      </c>
      <c r="M28" s="97">
        <v>500000</v>
      </c>
      <c r="N28" s="97">
        <v>500000</v>
      </c>
      <c r="O28" s="232" t="s">
        <v>42</v>
      </c>
      <c r="P28" s="243">
        <v>98</v>
      </c>
      <c r="Q28" s="243">
        <v>2071</v>
      </c>
      <c r="R28" s="232">
        <v>2</v>
      </c>
      <c r="S28" s="232">
        <v>6</v>
      </c>
      <c r="T28" s="232">
        <v>3</v>
      </c>
      <c r="U28" s="232"/>
    </row>
    <row r="29" spans="1:22" s="7" customFormat="1" ht="55.5" customHeight="1" thickBot="1" x14ac:dyDescent="0.3">
      <c r="B29" s="304"/>
      <c r="C29" s="304"/>
      <c r="D29" s="304"/>
      <c r="E29" s="299"/>
      <c r="F29" s="299"/>
      <c r="G29" s="93" t="s">
        <v>167</v>
      </c>
      <c r="H29" s="248">
        <v>1</v>
      </c>
      <c r="I29" s="106">
        <v>325000</v>
      </c>
      <c r="J29" s="159">
        <f t="shared" si="0"/>
        <v>325000</v>
      </c>
      <c r="K29" s="159"/>
      <c r="L29" s="97"/>
      <c r="M29" s="97">
        <v>325000</v>
      </c>
      <c r="N29" s="97"/>
      <c r="O29" s="232" t="s">
        <v>42</v>
      </c>
      <c r="P29" s="243">
        <v>98</v>
      </c>
      <c r="Q29" s="243">
        <v>2071</v>
      </c>
      <c r="R29" s="232">
        <v>2</v>
      </c>
      <c r="S29" s="232">
        <v>6</v>
      </c>
      <c r="T29" s="232">
        <v>1</v>
      </c>
      <c r="U29" s="232"/>
    </row>
    <row r="30" spans="1:22" s="7" customFormat="1" ht="31.5" customHeight="1" thickBot="1" x14ac:dyDescent="0.3">
      <c r="B30" s="305"/>
      <c r="C30" s="305"/>
      <c r="D30" s="305"/>
      <c r="E30" s="299"/>
      <c r="F30" s="299"/>
      <c r="G30" s="93" t="s">
        <v>168</v>
      </c>
      <c r="H30" s="248">
        <v>12</v>
      </c>
      <c r="I30" s="106">
        <v>114483</v>
      </c>
      <c r="J30" s="159">
        <f t="shared" si="0"/>
        <v>1373796</v>
      </c>
      <c r="K30" s="159">
        <v>343449</v>
      </c>
      <c r="L30" s="159">
        <v>343449</v>
      </c>
      <c r="M30" s="159">
        <v>343449</v>
      </c>
      <c r="N30" s="159">
        <v>343449</v>
      </c>
      <c r="O30" s="232" t="s">
        <v>42</v>
      </c>
      <c r="P30" s="243">
        <v>98</v>
      </c>
      <c r="Q30" s="243">
        <v>2071</v>
      </c>
      <c r="R30" s="232">
        <v>1</v>
      </c>
      <c r="S30" s="232">
        <v>5</v>
      </c>
      <c r="T30" s="232">
        <v>1</v>
      </c>
      <c r="U30" s="232"/>
    </row>
    <row r="31" spans="1:22" s="7" customFormat="1" ht="36" customHeight="1" thickBot="1" x14ac:dyDescent="0.3">
      <c r="B31" s="303" t="s">
        <v>79</v>
      </c>
      <c r="C31" s="303" t="s">
        <v>80</v>
      </c>
      <c r="D31" s="303">
        <v>6</v>
      </c>
      <c r="E31" s="299" t="s">
        <v>169</v>
      </c>
      <c r="F31" s="299"/>
      <c r="G31" s="93" t="s">
        <v>170</v>
      </c>
      <c r="H31" s="248">
        <v>11538</v>
      </c>
      <c r="I31" s="106">
        <v>260</v>
      </c>
      <c r="J31" s="159">
        <f t="shared" si="0"/>
        <v>2999880</v>
      </c>
      <c r="K31" s="159">
        <v>749970</v>
      </c>
      <c r="L31" s="159">
        <v>749970</v>
      </c>
      <c r="M31" s="159">
        <v>749970</v>
      </c>
      <c r="N31" s="159">
        <v>749970</v>
      </c>
      <c r="O31" s="232" t="s">
        <v>42</v>
      </c>
      <c r="P31" s="243">
        <v>98</v>
      </c>
      <c r="Q31" s="243">
        <v>2071</v>
      </c>
      <c r="R31" s="232">
        <v>1</v>
      </c>
      <c r="S31" s="232">
        <v>2</v>
      </c>
      <c r="T31" s="232">
        <v>2</v>
      </c>
      <c r="U31" s="232">
        <v>4</v>
      </c>
    </row>
    <row r="32" spans="1:22" s="7" customFormat="1" ht="78" customHeight="1" thickBot="1" x14ac:dyDescent="0.3">
      <c r="B32" s="304"/>
      <c r="C32" s="304"/>
      <c r="D32" s="304"/>
      <c r="E32" s="299"/>
      <c r="F32" s="299"/>
      <c r="G32" s="93" t="s">
        <v>171</v>
      </c>
      <c r="H32" s="248">
        <v>2500</v>
      </c>
      <c r="I32" s="106">
        <v>240</v>
      </c>
      <c r="J32" s="159">
        <f t="shared" si="0"/>
        <v>600000</v>
      </c>
      <c r="K32" s="159">
        <v>150000</v>
      </c>
      <c r="L32" s="159">
        <v>150000</v>
      </c>
      <c r="M32" s="159">
        <v>150000</v>
      </c>
      <c r="N32" s="159">
        <v>150000</v>
      </c>
      <c r="O32" s="232" t="s">
        <v>42</v>
      </c>
      <c r="P32" s="243">
        <v>98</v>
      </c>
      <c r="Q32" s="243">
        <v>2071</v>
      </c>
      <c r="R32" s="232">
        <v>3</v>
      </c>
      <c r="S32" s="232">
        <v>7</v>
      </c>
      <c r="T32" s="232">
        <v>1</v>
      </c>
      <c r="U32" s="232">
        <v>2</v>
      </c>
    </row>
    <row r="33" spans="1:21" s="7" customFormat="1" ht="36" customHeight="1" thickBot="1" x14ac:dyDescent="0.3">
      <c r="B33" s="304"/>
      <c r="C33" s="304"/>
      <c r="D33" s="304"/>
      <c r="E33" s="299"/>
      <c r="F33" s="299"/>
      <c r="G33" s="93" t="s">
        <v>172</v>
      </c>
      <c r="H33" s="248">
        <v>100</v>
      </c>
      <c r="I33" s="106">
        <v>170</v>
      </c>
      <c r="J33" s="159">
        <f t="shared" si="0"/>
        <v>17000</v>
      </c>
      <c r="K33" s="159">
        <v>4250</v>
      </c>
      <c r="L33" s="159">
        <v>4250</v>
      </c>
      <c r="M33" s="159">
        <v>4250</v>
      </c>
      <c r="N33" s="159">
        <v>4250</v>
      </c>
      <c r="O33" s="232" t="s">
        <v>42</v>
      </c>
      <c r="P33" s="243">
        <v>98</v>
      </c>
      <c r="Q33" s="243">
        <v>2071</v>
      </c>
      <c r="R33" s="232">
        <v>3</v>
      </c>
      <c r="S33" s="232">
        <v>7</v>
      </c>
      <c r="T33" s="232">
        <v>1</v>
      </c>
      <c r="U33" s="232">
        <v>5</v>
      </c>
    </row>
    <row r="34" spans="1:21" s="7" customFormat="1" ht="44.25" customHeight="1" thickBot="1" x14ac:dyDescent="0.3">
      <c r="B34" s="304"/>
      <c r="C34" s="304"/>
      <c r="D34" s="304"/>
      <c r="E34" s="299"/>
      <c r="F34" s="299"/>
      <c r="G34" s="93" t="s">
        <v>173</v>
      </c>
      <c r="H34" s="248">
        <v>50</v>
      </c>
      <c r="I34" s="106">
        <v>180</v>
      </c>
      <c r="J34" s="159">
        <f t="shared" si="0"/>
        <v>9000</v>
      </c>
      <c r="K34" s="159">
        <v>2250</v>
      </c>
      <c r="L34" s="159">
        <v>2250</v>
      </c>
      <c r="M34" s="159">
        <v>2250</v>
      </c>
      <c r="N34" s="159">
        <v>2250</v>
      </c>
      <c r="O34" s="232" t="s">
        <v>42</v>
      </c>
      <c r="P34" s="243">
        <v>98</v>
      </c>
      <c r="Q34" s="243">
        <v>2071</v>
      </c>
      <c r="R34" s="232">
        <v>3</v>
      </c>
      <c r="S34" s="232">
        <v>7</v>
      </c>
      <c r="T34" s="232">
        <v>1</v>
      </c>
      <c r="U34" s="232">
        <v>5</v>
      </c>
    </row>
    <row r="35" spans="1:21" s="7" customFormat="1" ht="36" customHeight="1" thickBot="1" x14ac:dyDescent="0.3">
      <c r="B35" s="304"/>
      <c r="C35" s="304"/>
      <c r="D35" s="304"/>
      <c r="E35" s="299"/>
      <c r="F35" s="299"/>
      <c r="G35" s="93" t="s">
        <v>174</v>
      </c>
      <c r="H35" s="248">
        <v>40</v>
      </c>
      <c r="I35" s="106">
        <v>170</v>
      </c>
      <c r="J35" s="159">
        <f t="shared" si="0"/>
        <v>6800</v>
      </c>
      <c r="K35" s="159">
        <v>1700</v>
      </c>
      <c r="L35" s="159">
        <v>1700</v>
      </c>
      <c r="M35" s="159">
        <v>1700</v>
      </c>
      <c r="N35" s="159">
        <v>1700</v>
      </c>
      <c r="O35" s="232" t="s">
        <v>42</v>
      </c>
      <c r="P35" s="243">
        <v>98</v>
      </c>
      <c r="Q35" s="243">
        <v>2071</v>
      </c>
      <c r="R35" s="232">
        <v>3</v>
      </c>
      <c r="S35" s="232">
        <v>7</v>
      </c>
      <c r="T35" s="232">
        <v>1</v>
      </c>
      <c r="U35" s="232">
        <v>5</v>
      </c>
    </row>
    <row r="36" spans="1:21" s="7" customFormat="1" ht="37.5" customHeight="1" thickBot="1" x14ac:dyDescent="0.3">
      <c r="B36" s="304"/>
      <c r="C36" s="304"/>
      <c r="D36" s="304"/>
      <c r="E36" s="299"/>
      <c r="F36" s="299"/>
      <c r="G36" s="93" t="s">
        <v>175</v>
      </c>
      <c r="H36" s="248">
        <v>40</v>
      </c>
      <c r="I36" s="106">
        <v>150</v>
      </c>
      <c r="J36" s="159">
        <f t="shared" si="0"/>
        <v>6000</v>
      </c>
      <c r="K36" s="159">
        <v>1500</v>
      </c>
      <c r="L36" s="159">
        <v>1500</v>
      </c>
      <c r="M36" s="159">
        <v>1500</v>
      </c>
      <c r="N36" s="159">
        <v>1500</v>
      </c>
      <c r="O36" s="232" t="s">
        <v>42</v>
      </c>
      <c r="P36" s="243">
        <v>98</v>
      </c>
      <c r="Q36" s="243">
        <v>2071</v>
      </c>
      <c r="R36" s="232">
        <v>3</v>
      </c>
      <c r="S36" s="232">
        <v>7</v>
      </c>
      <c r="T36" s="232">
        <v>2</v>
      </c>
      <c r="U36" s="232"/>
    </row>
    <row r="37" spans="1:21" s="7" customFormat="1" ht="27.75" customHeight="1" thickBot="1" x14ac:dyDescent="0.3">
      <c r="B37" s="305"/>
      <c r="C37" s="305"/>
      <c r="D37" s="305"/>
      <c r="E37" s="299"/>
      <c r="F37" s="299"/>
      <c r="G37" s="93" t="s">
        <v>176</v>
      </c>
      <c r="H37" s="248">
        <v>60</v>
      </c>
      <c r="I37" s="106">
        <v>120</v>
      </c>
      <c r="J37" s="159">
        <f t="shared" si="0"/>
        <v>7200</v>
      </c>
      <c r="K37" s="159">
        <v>1800</v>
      </c>
      <c r="L37" s="159">
        <v>1800</v>
      </c>
      <c r="M37" s="159">
        <v>1800</v>
      </c>
      <c r="N37" s="159">
        <v>1800</v>
      </c>
      <c r="O37" s="232" t="s">
        <v>42</v>
      </c>
      <c r="P37" s="243">
        <v>98</v>
      </c>
      <c r="Q37" s="243">
        <v>2071</v>
      </c>
      <c r="R37" s="232">
        <v>3</v>
      </c>
      <c r="S37" s="232">
        <v>7</v>
      </c>
      <c r="T37" s="232">
        <v>1</v>
      </c>
      <c r="U37" s="232">
        <v>5</v>
      </c>
    </row>
    <row r="38" spans="1:21" s="7" customFormat="1" ht="42.75" customHeight="1" thickBot="1" x14ac:dyDescent="0.3">
      <c r="B38" s="303" t="s">
        <v>79</v>
      </c>
      <c r="C38" s="303" t="s">
        <v>80</v>
      </c>
      <c r="D38" s="303">
        <v>6</v>
      </c>
      <c r="E38" s="380" t="s">
        <v>180</v>
      </c>
      <c r="F38" s="381"/>
      <c r="G38" s="93" t="s">
        <v>177</v>
      </c>
      <c r="H38" s="251">
        <v>350</v>
      </c>
      <c r="I38" s="106">
        <v>17285</v>
      </c>
      <c r="J38" s="159">
        <f t="shared" si="0"/>
        <v>6049750</v>
      </c>
      <c r="K38" s="159"/>
      <c r="L38" s="159">
        <v>6049750</v>
      </c>
      <c r="M38" s="159"/>
      <c r="N38" s="159"/>
      <c r="O38" s="253" t="s">
        <v>42</v>
      </c>
      <c r="P38" s="254">
        <v>98</v>
      </c>
      <c r="Q38" s="254">
        <v>2071</v>
      </c>
      <c r="R38" s="253">
        <v>6</v>
      </c>
      <c r="S38" s="253">
        <v>5</v>
      </c>
      <c r="T38" s="253">
        <v>5</v>
      </c>
      <c r="U38" s="253"/>
    </row>
    <row r="39" spans="1:21" s="7" customFormat="1" ht="59.25" customHeight="1" thickBot="1" x14ac:dyDescent="0.3">
      <c r="A39" s="15"/>
      <c r="B39" s="304"/>
      <c r="C39" s="304"/>
      <c r="D39" s="304"/>
      <c r="E39" s="376"/>
      <c r="F39" s="377"/>
      <c r="G39" s="93" t="s">
        <v>274</v>
      </c>
      <c r="H39" s="251">
        <v>18</v>
      </c>
      <c r="I39" s="106">
        <v>150333</v>
      </c>
      <c r="J39" s="159">
        <f>+H39*I39</f>
        <v>2705994</v>
      </c>
      <c r="K39" s="159">
        <v>609000</v>
      </c>
      <c r="L39" s="159">
        <v>819000</v>
      </c>
      <c r="M39" s="159">
        <v>608994</v>
      </c>
      <c r="N39" s="159">
        <v>669000</v>
      </c>
      <c r="O39" s="251" t="s">
        <v>53</v>
      </c>
      <c r="P39" s="192">
        <v>98</v>
      </c>
      <c r="Q39" s="192">
        <v>2071</v>
      </c>
      <c r="R39" s="251">
        <v>6</v>
      </c>
      <c r="S39" s="251">
        <v>8</v>
      </c>
      <c r="T39" s="251">
        <v>8</v>
      </c>
      <c r="U39" s="251">
        <v>1</v>
      </c>
    </row>
    <row r="40" spans="1:21" s="7" customFormat="1" ht="62.25" customHeight="1" thickBot="1" x14ac:dyDescent="0.3">
      <c r="A40" s="15"/>
      <c r="B40" s="305"/>
      <c r="C40" s="305"/>
      <c r="D40" s="305"/>
      <c r="E40" s="378"/>
      <c r="F40" s="379"/>
      <c r="G40" s="93" t="s">
        <v>275</v>
      </c>
      <c r="H40" s="251">
        <v>9</v>
      </c>
      <c r="I40" s="106">
        <v>228889</v>
      </c>
      <c r="J40" s="159">
        <f>+H40*I40</f>
        <v>2060001</v>
      </c>
      <c r="K40" s="159">
        <f>+J40/4</f>
        <v>515000.25</v>
      </c>
      <c r="L40" s="159">
        <f>+K40</f>
        <v>515000.25</v>
      </c>
      <c r="M40" s="159">
        <f>+L40</f>
        <v>515000.25</v>
      </c>
      <c r="N40" s="159">
        <f>+M40</f>
        <v>515000.25</v>
      </c>
      <c r="O40" s="251" t="s">
        <v>53</v>
      </c>
      <c r="P40" s="279">
        <v>98</v>
      </c>
      <c r="Q40" s="279">
        <v>2071</v>
      </c>
      <c r="R40" s="251">
        <v>2</v>
      </c>
      <c r="S40" s="251">
        <v>7</v>
      </c>
      <c r="T40" s="251">
        <v>2</v>
      </c>
      <c r="U40" s="251">
        <v>2</v>
      </c>
    </row>
    <row r="41" spans="1:21" s="7" customFormat="1" ht="39" customHeight="1" thickBot="1" x14ac:dyDescent="0.3">
      <c r="B41" s="303"/>
      <c r="C41" s="303"/>
      <c r="D41" s="303"/>
      <c r="E41" s="380"/>
      <c r="F41" s="381"/>
      <c r="G41" s="93" t="s">
        <v>178</v>
      </c>
      <c r="H41" s="251">
        <v>1</v>
      </c>
      <c r="I41" s="106">
        <v>1500000</v>
      </c>
      <c r="J41" s="159">
        <f t="shared" si="0"/>
        <v>1500000</v>
      </c>
      <c r="K41" s="159"/>
      <c r="L41" s="159">
        <v>1500000</v>
      </c>
      <c r="M41" s="159"/>
      <c r="N41" s="159"/>
      <c r="O41" s="251" t="s">
        <v>42</v>
      </c>
      <c r="P41" s="281">
        <v>98</v>
      </c>
      <c r="Q41" s="281">
        <v>2071</v>
      </c>
      <c r="R41" s="251">
        <v>6</v>
      </c>
      <c r="S41" s="251">
        <v>8</v>
      </c>
      <c r="T41" s="251">
        <v>3</v>
      </c>
      <c r="U41" s="251">
        <v>1</v>
      </c>
    </row>
    <row r="42" spans="1:21" s="7" customFormat="1" ht="36" customHeight="1" thickBot="1" x14ac:dyDescent="0.3">
      <c r="B42" s="304"/>
      <c r="C42" s="304"/>
      <c r="D42" s="304"/>
      <c r="E42" s="376"/>
      <c r="F42" s="377"/>
      <c r="G42" s="93" t="s">
        <v>179</v>
      </c>
      <c r="H42" s="251">
        <v>3</v>
      </c>
      <c r="I42" s="106">
        <f>165200+105000</f>
        <v>270200</v>
      </c>
      <c r="J42" s="159">
        <f t="shared" si="0"/>
        <v>810600</v>
      </c>
      <c r="K42" s="159"/>
      <c r="L42" s="159">
        <v>330400</v>
      </c>
      <c r="M42" s="159"/>
      <c r="N42" s="159">
        <v>480200</v>
      </c>
      <c r="O42" s="253" t="s">
        <v>42</v>
      </c>
      <c r="P42" s="254">
        <v>98</v>
      </c>
      <c r="Q42" s="254">
        <v>2071</v>
      </c>
      <c r="R42" s="253">
        <v>6</v>
      </c>
      <c r="S42" s="253">
        <v>5</v>
      </c>
      <c r="T42" s="253">
        <v>8</v>
      </c>
      <c r="U42" s="253"/>
    </row>
    <row r="43" spans="1:21" s="7" customFormat="1" ht="47.25" customHeight="1" thickBot="1" x14ac:dyDescent="0.3">
      <c r="B43" s="304"/>
      <c r="C43" s="304"/>
      <c r="D43" s="304"/>
      <c r="E43" s="376"/>
      <c r="F43" s="377"/>
      <c r="G43" s="93" t="s">
        <v>73</v>
      </c>
      <c r="H43" s="251">
        <v>10</v>
      </c>
      <c r="I43" s="106">
        <v>800</v>
      </c>
      <c r="J43" s="159">
        <f t="shared" si="0"/>
        <v>8000</v>
      </c>
      <c r="K43" s="159">
        <v>2000</v>
      </c>
      <c r="L43" s="159">
        <v>2000</v>
      </c>
      <c r="M43" s="159">
        <v>2000</v>
      </c>
      <c r="N43" s="159">
        <v>2000</v>
      </c>
      <c r="O43" s="253" t="s">
        <v>42</v>
      </c>
      <c r="P43" s="254">
        <v>98</v>
      </c>
      <c r="Q43" s="254">
        <v>2071</v>
      </c>
      <c r="R43" s="253">
        <v>3</v>
      </c>
      <c r="S43" s="253">
        <v>9</v>
      </c>
      <c r="T43" s="253">
        <v>8</v>
      </c>
      <c r="U43" s="253"/>
    </row>
    <row r="44" spans="1:21" s="7" customFormat="1" ht="27.75" customHeight="1" thickBot="1" x14ac:dyDescent="0.3">
      <c r="B44" s="304"/>
      <c r="C44" s="304"/>
      <c r="D44" s="304"/>
      <c r="E44" s="376"/>
      <c r="F44" s="377"/>
      <c r="G44" s="93" t="s">
        <v>74</v>
      </c>
      <c r="H44" s="251">
        <v>2</v>
      </c>
      <c r="I44" s="106">
        <v>14290</v>
      </c>
      <c r="J44" s="159">
        <f t="shared" si="0"/>
        <v>28580</v>
      </c>
      <c r="K44" s="159">
        <v>14290</v>
      </c>
      <c r="L44" s="159"/>
      <c r="M44" s="159">
        <v>14290</v>
      </c>
      <c r="N44" s="159"/>
      <c r="O44" s="253" t="s">
        <v>42</v>
      </c>
      <c r="P44" s="254">
        <v>98</v>
      </c>
      <c r="Q44" s="254">
        <v>2071</v>
      </c>
      <c r="R44" s="253">
        <v>2</v>
      </c>
      <c r="S44" s="253">
        <v>7</v>
      </c>
      <c r="T44" s="253">
        <v>2</v>
      </c>
      <c r="U44" s="253">
        <v>4</v>
      </c>
    </row>
    <row r="45" spans="1:21" s="7" customFormat="1" ht="55.5" customHeight="1" thickBot="1" x14ac:dyDescent="0.3">
      <c r="B45" s="305"/>
      <c r="C45" s="305"/>
      <c r="D45" s="305"/>
      <c r="E45" s="378"/>
      <c r="F45" s="379"/>
      <c r="G45" s="93" t="s">
        <v>181</v>
      </c>
      <c r="H45" s="251">
        <v>160</v>
      </c>
      <c r="I45" s="106">
        <v>10594</v>
      </c>
      <c r="J45" s="159">
        <f t="shared" si="0"/>
        <v>1695040</v>
      </c>
      <c r="K45" s="159"/>
      <c r="L45" s="159">
        <v>1695040</v>
      </c>
      <c r="M45" s="159"/>
      <c r="N45" s="159"/>
      <c r="O45" s="253" t="s">
        <v>42</v>
      </c>
      <c r="P45" s="278">
        <v>98</v>
      </c>
      <c r="Q45" s="278">
        <v>2071</v>
      </c>
      <c r="R45" s="253">
        <v>6</v>
      </c>
      <c r="S45" s="253">
        <v>8</v>
      </c>
      <c r="T45" s="253">
        <v>8</v>
      </c>
      <c r="U45" s="253">
        <v>1</v>
      </c>
    </row>
    <row r="46" spans="1:21" s="7" customFormat="1" ht="41.25" customHeight="1" thickBot="1" x14ac:dyDescent="0.3">
      <c r="A46" s="15"/>
      <c r="B46" s="232" t="s">
        <v>79</v>
      </c>
      <c r="C46" s="250" t="s">
        <v>80</v>
      </c>
      <c r="D46" s="250">
        <v>6</v>
      </c>
      <c r="E46" s="375" t="s">
        <v>182</v>
      </c>
      <c r="F46" s="375"/>
      <c r="G46" s="272" t="s">
        <v>183</v>
      </c>
      <c r="H46" s="273">
        <f>131+61</f>
        <v>192</v>
      </c>
      <c r="I46" s="274">
        <v>39917.54</v>
      </c>
      <c r="J46" s="275">
        <f t="shared" si="0"/>
        <v>7664167.6799999997</v>
      </c>
      <c r="K46" s="275">
        <f>J46/4</f>
        <v>1916041.92</v>
      </c>
      <c r="L46" s="275">
        <f t="shared" ref="L46:N46" si="1">K46</f>
        <v>1916041.92</v>
      </c>
      <c r="M46" s="275">
        <f t="shared" si="1"/>
        <v>1916041.92</v>
      </c>
      <c r="N46" s="275">
        <f t="shared" si="1"/>
        <v>1916041.92</v>
      </c>
      <c r="O46" s="250" t="s">
        <v>42</v>
      </c>
      <c r="P46" s="277">
        <v>98</v>
      </c>
      <c r="Q46" s="277">
        <v>2071</v>
      </c>
      <c r="R46" s="250">
        <v>3</v>
      </c>
      <c r="S46" s="250">
        <v>9</v>
      </c>
      <c r="T46" s="250">
        <v>9</v>
      </c>
      <c r="U46" s="250"/>
    </row>
    <row r="47" spans="1:21" s="7" customFormat="1" ht="67.5" customHeight="1" thickBot="1" x14ac:dyDescent="0.3">
      <c r="A47" s="15"/>
      <c r="B47" s="303" t="s">
        <v>79</v>
      </c>
      <c r="C47" s="303" t="s">
        <v>80</v>
      </c>
      <c r="D47" s="303">
        <v>6</v>
      </c>
      <c r="E47" s="299" t="s">
        <v>185</v>
      </c>
      <c r="F47" s="299"/>
      <c r="G47" s="93" t="s">
        <v>273</v>
      </c>
      <c r="H47" s="248">
        <v>92</v>
      </c>
      <c r="I47" s="106">
        <v>16230</v>
      </c>
      <c r="J47" s="159">
        <f>+H47*I47</f>
        <v>1493160</v>
      </c>
      <c r="K47" s="159">
        <v>373290</v>
      </c>
      <c r="L47" s="159">
        <v>373290</v>
      </c>
      <c r="M47" s="159">
        <v>373290</v>
      </c>
      <c r="N47" s="159">
        <v>373290</v>
      </c>
      <c r="O47" s="248" t="s">
        <v>42</v>
      </c>
      <c r="P47" s="192">
        <v>98</v>
      </c>
      <c r="Q47" s="192">
        <v>2071</v>
      </c>
      <c r="R47" s="248">
        <v>2</v>
      </c>
      <c r="S47" s="248">
        <v>7</v>
      </c>
      <c r="T47" s="248">
        <v>2</v>
      </c>
      <c r="U47" s="248">
        <v>6</v>
      </c>
    </row>
    <row r="48" spans="1:21" s="7" customFormat="1" ht="36" customHeight="1" thickBot="1" x14ac:dyDescent="0.3">
      <c r="B48" s="304"/>
      <c r="C48" s="304"/>
      <c r="D48" s="304"/>
      <c r="E48" s="299"/>
      <c r="F48" s="299"/>
      <c r="G48" s="93" t="s">
        <v>184</v>
      </c>
      <c r="H48" s="248">
        <v>45</v>
      </c>
      <c r="I48" s="106">
        <v>150</v>
      </c>
      <c r="J48" s="52">
        <f t="shared" si="0"/>
        <v>6750</v>
      </c>
      <c r="K48" s="159">
        <v>1688</v>
      </c>
      <c r="L48" s="97">
        <v>1688</v>
      </c>
      <c r="M48" s="97">
        <v>1688</v>
      </c>
      <c r="N48" s="97">
        <v>1688</v>
      </c>
      <c r="O48" s="232" t="s">
        <v>42</v>
      </c>
      <c r="P48" s="243">
        <v>98</v>
      </c>
      <c r="Q48" s="243">
        <v>2071</v>
      </c>
      <c r="R48" s="232">
        <v>3</v>
      </c>
      <c r="S48" s="232">
        <v>5</v>
      </c>
      <c r="T48" s="232">
        <v>4</v>
      </c>
      <c r="U48" s="232"/>
    </row>
    <row r="49" spans="1:25" s="7" customFormat="1" ht="37.5" customHeight="1" thickBot="1" x14ac:dyDescent="0.3">
      <c r="B49" s="304"/>
      <c r="C49" s="304"/>
      <c r="D49" s="304"/>
      <c r="E49" s="299"/>
      <c r="F49" s="299"/>
      <c r="G49" s="93" t="s">
        <v>186</v>
      </c>
      <c r="H49" s="248">
        <v>20</v>
      </c>
      <c r="I49" s="106">
        <v>7458</v>
      </c>
      <c r="J49" s="52">
        <f t="shared" si="0"/>
        <v>149160</v>
      </c>
      <c r="K49" s="159"/>
      <c r="L49" s="97">
        <v>49720</v>
      </c>
      <c r="M49" s="97">
        <v>49720</v>
      </c>
      <c r="N49" s="97">
        <v>49720</v>
      </c>
      <c r="O49" s="232" t="s">
        <v>42</v>
      </c>
      <c r="P49" s="243">
        <v>98</v>
      </c>
      <c r="Q49" s="243">
        <v>2071</v>
      </c>
      <c r="R49" s="232">
        <v>3</v>
      </c>
      <c r="S49" s="232">
        <v>5</v>
      </c>
      <c r="T49" s="232">
        <v>3</v>
      </c>
      <c r="U49" s="232"/>
      <c r="X49" s="64"/>
      <c r="Y49" s="64"/>
    </row>
    <row r="50" spans="1:25" s="7" customFormat="1" ht="37.5" customHeight="1" thickBot="1" x14ac:dyDescent="0.3">
      <c r="B50" s="304"/>
      <c r="C50" s="304"/>
      <c r="D50" s="304"/>
      <c r="E50" s="299"/>
      <c r="F50" s="299"/>
      <c r="G50" s="93" t="s">
        <v>187</v>
      </c>
      <c r="H50" s="248">
        <v>13</v>
      </c>
      <c r="I50" s="106">
        <v>6650</v>
      </c>
      <c r="J50" s="52">
        <f t="shared" si="0"/>
        <v>86450</v>
      </c>
      <c r="K50" s="159">
        <v>21612.5</v>
      </c>
      <c r="L50" s="97">
        <v>21612.5</v>
      </c>
      <c r="M50" s="97">
        <v>21612.5</v>
      </c>
      <c r="N50" s="97">
        <v>21612.5</v>
      </c>
      <c r="O50" s="232" t="s">
        <v>42</v>
      </c>
      <c r="P50" s="243">
        <v>98</v>
      </c>
      <c r="Q50" s="243">
        <v>2071</v>
      </c>
      <c r="R50" s="232">
        <v>3</v>
      </c>
      <c r="S50" s="232">
        <v>9</v>
      </c>
      <c r="T50" s="232">
        <v>6</v>
      </c>
      <c r="U50" s="232"/>
      <c r="Y50" s="64"/>
    </row>
    <row r="51" spans="1:25" s="7" customFormat="1" ht="33.75" customHeight="1" thickBot="1" x14ac:dyDescent="0.3">
      <c r="B51" s="304"/>
      <c r="C51" s="304"/>
      <c r="D51" s="304"/>
      <c r="E51" s="299"/>
      <c r="F51" s="299"/>
      <c r="G51" s="93" t="s">
        <v>188</v>
      </c>
      <c r="H51" s="248">
        <v>60</v>
      </c>
      <c r="I51" s="106">
        <v>40</v>
      </c>
      <c r="J51" s="52">
        <f t="shared" si="0"/>
        <v>2400</v>
      </c>
      <c r="K51" s="159">
        <v>600</v>
      </c>
      <c r="L51" s="97">
        <v>600</v>
      </c>
      <c r="M51" s="97">
        <v>600</v>
      </c>
      <c r="N51" s="97">
        <v>600</v>
      </c>
      <c r="O51" s="232" t="s">
        <v>42</v>
      </c>
      <c r="P51" s="243">
        <v>98</v>
      </c>
      <c r="Q51" s="243">
        <v>2071</v>
      </c>
      <c r="R51" s="232">
        <v>3</v>
      </c>
      <c r="S51" s="232">
        <v>7</v>
      </c>
      <c r="T51" s="232">
        <v>1</v>
      </c>
      <c r="U51" s="232">
        <v>6</v>
      </c>
      <c r="Y51" s="65"/>
    </row>
    <row r="52" spans="1:25" s="7" customFormat="1" ht="33.75" customHeight="1" thickBot="1" x14ac:dyDescent="0.3">
      <c r="B52" s="305"/>
      <c r="C52" s="305"/>
      <c r="D52" s="305"/>
      <c r="E52" s="299"/>
      <c r="F52" s="299"/>
      <c r="G52" s="93" t="s">
        <v>189</v>
      </c>
      <c r="H52" s="248">
        <v>40</v>
      </c>
      <c r="I52" s="106">
        <v>125</v>
      </c>
      <c r="J52" s="52">
        <f t="shared" si="0"/>
        <v>5000</v>
      </c>
      <c r="K52" s="159">
        <v>1250</v>
      </c>
      <c r="L52" s="97">
        <v>1250</v>
      </c>
      <c r="M52" s="97">
        <v>1250</v>
      </c>
      <c r="N52" s="97">
        <v>1250</v>
      </c>
      <c r="O52" s="232" t="s">
        <v>42</v>
      </c>
      <c r="P52" s="243">
        <v>98</v>
      </c>
      <c r="Q52" s="243">
        <v>2071</v>
      </c>
      <c r="R52" s="232">
        <v>3</v>
      </c>
      <c r="S52" s="232">
        <v>7</v>
      </c>
      <c r="T52" s="232">
        <v>1</v>
      </c>
      <c r="U52" s="232">
        <v>6</v>
      </c>
      <c r="Y52" s="64"/>
    </row>
    <row r="53" spans="1:25" s="7" customFormat="1" ht="63.75" customHeight="1" thickBot="1" x14ac:dyDescent="0.3">
      <c r="B53" s="303" t="s">
        <v>79</v>
      </c>
      <c r="C53" s="303" t="s">
        <v>80</v>
      </c>
      <c r="D53" s="303">
        <v>6</v>
      </c>
      <c r="E53" s="299" t="s">
        <v>190</v>
      </c>
      <c r="F53" s="299"/>
      <c r="G53" s="93" t="s">
        <v>191</v>
      </c>
      <c r="H53" s="248">
        <v>50</v>
      </c>
      <c r="I53" s="106">
        <v>200</v>
      </c>
      <c r="J53" s="52">
        <f>+H53*I53</f>
        <v>10000</v>
      </c>
      <c r="K53" s="159"/>
      <c r="L53" s="97">
        <v>10000</v>
      </c>
      <c r="M53" s="97"/>
      <c r="N53" s="97"/>
      <c r="O53" s="232" t="s">
        <v>42</v>
      </c>
      <c r="P53" s="243">
        <v>98</v>
      </c>
      <c r="Q53" s="243">
        <v>2071</v>
      </c>
      <c r="R53" s="232">
        <v>2</v>
      </c>
      <c r="S53" s="232">
        <v>2</v>
      </c>
      <c r="T53" s="232">
        <v>2</v>
      </c>
      <c r="U53" s="232"/>
      <c r="V53" s="215"/>
    </row>
    <row r="54" spans="1:25" s="7" customFormat="1" ht="49.5" customHeight="1" thickBot="1" x14ac:dyDescent="0.3">
      <c r="B54" s="304"/>
      <c r="C54" s="304"/>
      <c r="D54" s="304"/>
      <c r="E54" s="299"/>
      <c r="F54" s="299"/>
      <c r="G54" s="93" t="s">
        <v>192</v>
      </c>
      <c r="H54" s="248">
        <v>3</v>
      </c>
      <c r="I54" s="106">
        <v>21000</v>
      </c>
      <c r="J54" s="52">
        <f>+H54*I54</f>
        <v>63000</v>
      </c>
      <c r="K54" s="159"/>
      <c r="L54" s="97">
        <v>21000</v>
      </c>
      <c r="M54" s="97">
        <v>21000</v>
      </c>
      <c r="N54" s="97">
        <v>21000</v>
      </c>
      <c r="O54" s="232" t="s">
        <v>42</v>
      </c>
      <c r="P54" s="243">
        <v>98</v>
      </c>
      <c r="Q54" s="243">
        <v>2071</v>
      </c>
      <c r="R54" s="232">
        <v>3</v>
      </c>
      <c r="S54" s="232">
        <v>1</v>
      </c>
      <c r="T54" s="232">
        <v>1</v>
      </c>
      <c r="U54" s="232">
        <v>1</v>
      </c>
    </row>
    <row r="55" spans="1:25" s="7" customFormat="1" ht="94.5" customHeight="1" thickBot="1" x14ac:dyDescent="0.3">
      <c r="A55" s="15"/>
      <c r="B55" s="304"/>
      <c r="C55" s="304"/>
      <c r="D55" s="304"/>
      <c r="E55" s="299"/>
      <c r="F55" s="299"/>
      <c r="G55" s="93" t="s">
        <v>272</v>
      </c>
      <c r="H55" s="248">
        <v>1</v>
      </c>
      <c r="I55" s="106">
        <v>300000</v>
      </c>
      <c r="J55" s="159">
        <f>+H55*I55</f>
        <v>300000</v>
      </c>
      <c r="K55" s="159"/>
      <c r="L55" s="159">
        <v>300000</v>
      </c>
      <c r="M55" s="159"/>
      <c r="N55" s="159"/>
      <c r="O55" s="248" t="s">
        <v>42</v>
      </c>
      <c r="P55" s="192">
        <v>98</v>
      </c>
      <c r="Q55" s="192">
        <v>2071</v>
      </c>
      <c r="R55" s="248">
        <v>2</v>
      </c>
      <c r="S55" s="248">
        <v>8</v>
      </c>
      <c r="T55" s="248">
        <v>7</v>
      </c>
      <c r="U55" s="248">
        <v>4</v>
      </c>
    </row>
    <row r="56" spans="1:25" s="7" customFormat="1" ht="37.5" customHeight="1" thickBot="1" x14ac:dyDescent="0.3">
      <c r="B56" s="304"/>
      <c r="C56" s="304"/>
      <c r="D56" s="304"/>
      <c r="E56" s="299"/>
      <c r="F56" s="299"/>
      <c r="G56" s="93" t="s">
        <v>193</v>
      </c>
      <c r="H56" s="248">
        <v>1</v>
      </c>
      <c r="I56" s="106">
        <v>100000</v>
      </c>
      <c r="J56" s="52">
        <f>+H56*I56</f>
        <v>100000</v>
      </c>
      <c r="K56" s="159">
        <v>20000</v>
      </c>
      <c r="L56" s="97">
        <v>30000</v>
      </c>
      <c r="M56" s="97">
        <v>50000</v>
      </c>
      <c r="N56" s="97"/>
      <c r="O56" s="232" t="s">
        <v>42</v>
      </c>
      <c r="P56" s="243">
        <v>98</v>
      </c>
      <c r="Q56" s="243">
        <v>2071</v>
      </c>
      <c r="R56" s="232">
        <v>2</v>
      </c>
      <c r="S56" s="232">
        <v>8</v>
      </c>
      <c r="T56" s="232">
        <v>7</v>
      </c>
      <c r="U56" s="232">
        <v>6</v>
      </c>
    </row>
    <row r="57" spans="1:25" s="7" customFormat="1" ht="33.75" customHeight="1" thickBot="1" x14ac:dyDescent="0.3">
      <c r="B57" s="304"/>
      <c r="C57" s="304"/>
      <c r="D57" s="304"/>
      <c r="E57" s="299"/>
      <c r="F57" s="299"/>
      <c r="G57" s="93" t="s">
        <v>194</v>
      </c>
      <c r="H57" s="248">
        <v>6</v>
      </c>
      <c r="I57" s="106">
        <v>3000</v>
      </c>
      <c r="J57" s="52">
        <f t="shared" ref="J57:J58" si="2">+H57*I57</f>
        <v>18000</v>
      </c>
      <c r="K57" s="159">
        <v>18000</v>
      </c>
      <c r="L57" s="97"/>
      <c r="M57" s="97"/>
      <c r="N57" s="97"/>
      <c r="O57" s="232" t="s">
        <v>42</v>
      </c>
      <c r="P57" s="243">
        <v>98</v>
      </c>
      <c r="Q57" s="243">
        <v>2071</v>
      </c>
      <c r="R57" s="232">
        <v>2</v>
      </c>
      <c r="S57" s="232">
        <v>2</v>
      </c>
      <c r="T57" s="232">
        <v>2</v>
      </c>
      <c r="U57" s="232"/>
    </row>
    <row r="58" spans="1:25" s="7" customFormat="1" ht="40.5" customHeight="1" thickBot="1" x14ac:dyDescent="0.3">
      <c r="B58" s="304"/>
      <c r="C58" s="304"/>
      <c r="D58" s="304"/>
      <c r="E58" s="299"/>
      <c r="F58" s="299"/>
      <c r="G58" s="93" t="s">
        <v>195</v>
      </c>
      <c r="H58" s="248">
        <v>170</v>
      </c>
      <c r="I58" s="106">
        <v>40461</v>
      </c>
      <c r="J58" s="52">
        <f t="shared" si="2"/>
        <v>6878370</v>
      </c>
      <c r="K58" s="159"/>
      <c r="L58" s="159"/>
      <c r="M58" s="159"/>
      <c r="N58" s="159">
        <v>6878370</v>
      </c>
      <c r="O58" s="232" t="s">
        <v>42</v>
      </c>
      <c r="P58" s="243">
        <v>98</v>
      </c>
      <c r="Q58" s="243">
        <v>2071</v>
      </c>
      <c r="R58" s="232">
        <v>1</v>
      </c>
      <c r="S58" s="232">
        <v>2</v>
      </c>
      <c r="T58" s="232">
        <v>2</v>
      </c>
      <c r="U58" s="232">
        <v>2</v>
      </c>
    </row>
    <row r="59" spans="1:25" s="7" customFormat="1" ht="48" customHeight="1" thickBot="1" x14ac:dyDescent="0.3">
      <c r="B59" s="304"/>
      <c r="C59" s="304"/>
      <c r="D59" s="304"/>
      <c r="E59" s="299"/>
      <c r="F59" s="299"/>
      <c r="G59" s="93" t="s">
        <v>196</v>
      </c>
      <c r="H59" s="248">
        <v>140</v>
      </c>
      <c r="I59" s="106">
        <v>200</v>
      </c>
      <c r="J59" s="52">
        <f>+H59*I59</f>
        <v>28000</v>
      </c>
      <c r="K59" s="159"/>
      <c r="L59" s="97">
        <v>28000</v>
      </c>
      <c r="M59" s="97"/>
      <c r="N59" s="97"/>
      <c r="O59" s="232" t="s">
        <v>42</v>
      </c>
      <c r="P59" s="243">
        <v>98</v>
      </c>
      <c r="Q59" s="243">
        <v>2071</v>
      </c>
      <c r="R59" s="232">
        <v>2</v>
      </c>
      <c r="S59" s="232">
        <v>2</v>
      </c>
      <c r="T59" s="232">
        <v>2</v>
      </c>
      <c r="U59" s="232"/>
    </row>
    <row r="60" spans="1:25" s="7" customFormat="1" ht="33.75" customHeight="1" thickBot="1" x14ac:dyDescent="0.3">
      <c r="B60" s="305"/>
      <c r="C60" s="305"/>
      <c r="D60" s="305"/>
      <c r="E60" s="299"/>
      <c r="F60" s="299"/>
      <c r="G60" s="93" t="s">
        <v>197</v>
      </c>
      <c r="H60" s="248">
        <v>140</v>
      </c>
      <c r="I60" s="106">
        <v>115</v>
      </c>
      <c r="J60" s="52">
        <f>+H60*I60</f>
        <v>16100</v>
      </c>
      <c r="K60" s="159"/>
      <c r="L60" s="97">
        <v>16100</v>
      </c>
      <c r="M60" s="97"/>
      <c r="N60" s="97"/>
      <c r="O60" s="232" t="s">
        <v>42</v>
      </c>
      <c r="P60" s="243">
        <v>98</v>
      </c>
      <c r="Q60" s="243">
        <v>2071</v>
      </c>
      <c r="R60" s="232">
        <v>2</v>
      </c>
      <c r="S60" s="232">
        <v>2</v>
      </c>
      <c r="T60" s="232">
        <v>2</v>
      </c>
      <c r="U60" s="232"/>
    </row>
    <row r="61" spans="1:25" s="7" customFormat="1" ht="32.25" customHeight="1" thickBot="1" x14ac:dyDescent="0.3">
      <c r="B61" s="303" t="s">
        <v>79</v>
      </c>
      <c r="C61" s="303" t="s">
        <v>80</v>
      </c>
      <c r="D61" s="303">
        <v>6</v>
      </c>
      <c r="E61" s="299" t="s">
        <v>224</v>
      </c>
      <c r="F61" s="299"/>
      <c r="G61" s="93" t="s">
        <v>198</v>
      </c>
      <c r="H61" s="251">
        <v>9000</v>
      </c>
      <c r="I61" s="106">
        <v>25</v>
      </c>
      <c r="J61" s="52">
        <f>+H61*I61</f>
        <v>225000</v>
      </c>
      <c r="K61" s="159"/>
      <c r="L61" s="97">
        <v>75000</v>
      </c>
      <c r="M61" s="97">
        <v>75000</v>
      </c>
      <c r="N61" s="97">
        <v>75000</v>
      </c>
      <c r="O61" s="253" t="s">
        <v>42</v>
      </c>
      <c r="P61" s="254">
        <v>98</v>
      </c>
      <c r="Q61" s="254">
        <v>2071</v>
      </c>
      <c r="R61" s="253">
        <v>2</v>
      </c>
      <c r="S61" s="253">
        <v>2</v>
      </c>
      <c r="T61" s="253">
        <v>2</v>
      </c>
      <c r="U61" s="253"/>
    </row>
    <row r="62" spans="1:25" s="7" customFormat="1" ht="35.25" customHeight="1" thickBot="1" x14ac:dyDescent="0.3">
      <c r="B62" s="304"/>
      <c r="C62" s="304"/>
      <c r="D62" s="304"/>
      <c r="E62" s="299"/>
      <c r="F62" s="299"/>
      <c r="G62" s="93" t="s">
        <v>199</v>
      </c>
      <c r="H62" s="251">
        <v>18000</v>
      </c>
      <c r="I62" s="106">
        <v>10</v>
      </c>
      <c r="J62" s="52">
        <f>+H62*I62</f>
        <v>180000</v>
      </c>
      <c r="K62" s="159"/>
      <c r="L62" s="97">
        <v>70000</v>
      </c>
      <c r="M62" s="97">
        <v>30000</v>
      </c>
      <c r="N62" s="97">
        <v>80000</v>
      </c>
      <c r="O62" s="253" t="s">
        <v>42</v>
      </c>
      <c r="P62" s="254">
        <v>98</v>
      </c>
      <c r="Q62" s="254">
        <v>2071</v>
      </c>
      <c r="R62" s="253">
        <v>2</v>
      </c>
      <c r="S62" s="253">
        <v>2</v>
      </c>
      <c r="T62" s="253">
        <v>2</v>
      </c>
      <c r="U62" s="253"/>
    </row>
    <row r="63" spans="1:25" s="7" customFormat="1" ht="37.5" customHeight="1" thickBot="1" x14ac:dyDescent="0.3">
      <c r="B63" s="304"/>
      <c r="C63" s="304"/>
      <c r="D63" s="304"/>
      <c r="E63" s="299"/>
      <c r="F63" s="299"/>
      <c r="G63" s="93" t="s">
        <v>200</v>
      </c>
      <c r="H63" s="251">
        <v>500</v>
      </c>
      <c r="I63" s="106">
        <v>180</v>
      </c>
      <c r="J63" s="52">
        <f>+H63*I63</f>
        <v>90000</v>
      </c>
      <c r="K63" s="159"/>
      <c r="L63" s="97"/>
      <c r="M63" s="97"/>
      <c r="N63" s="97">
        <v>90000</v>
      </c>
      <c r="O63" s="253" t="s">
        <v>42</v>
      </c>
      <c r="P63" s="254">
        <v>98</v>
      </c>
      <c r="Q63" s="254">
        <v>2071</v>
      </c>
      <c r="R63" s="253">
        <v>2</v>
      </c>
      <c r="S63" s="253">
        <v>2</v>
      </c>
      <c r="T63" s="253">
        <v>2</v>
      </c>
      <c r="U63" s="253"/>
    </row>
    <row r="64" spans="1:25" s="7" customFormat="1" ht="37.5" customHeight="1" thickBot="1" x14ac:dyDescent="0.3">
      <c r="B64" s="304"/>
      <c r="C64" s="304"/>
      <c r="D64" s="304"/>
      <c r="E64" s="299"/>
      <c r="F64" s="299"/>
      <c r="G64" s="93" t="s">
        <v>201</v>
      </c>
      <c r="H64" s="251">
        <v>2000</v>
      </c>
      <c r="I64" s="106">
        <v>35</v>
      </c>
      <c r="J64" s="52">
        <f t="shared" ref="J64" si="3">+H64*I64</f>
        <v>70000</v>
      </c>
      <c r="K64" s="159"/>
      <c r="L64" s="97">
        <v>35000</v>
      </c>
      <c r="M64" s="97"/>
      <c r="N64" s="97">
        <v>35000</v>
      </c>
      <c r="O64" s="253" t="s">
        <v>42</v>
      </c>
      <c r="P64" s="254">
        <v>98</v>
      </c>
      <c r="Q64" s="254">
        <v>2071</v>
      </c>
      <c r="R64" s="253">
        <v>2</v>
      </c>
      <c r="S64" s="253">
        <v>2</v>
      </c>
      <c r="T64" s="253">
        <v>2</v>
      </c>
      <c r="U64" s="253"/>
    </row>
    <row r="65" spans="1:25" s="7" customFormat="1" ht="69" customHeight="1" thickBot="1" x14ac:dyDescent="0.3">
      <c r="B65" s="304"/>
      <c r="C65" s="304"/>
      <c r="D65" s="304"/>
      <c r="E65" s="299"/>
      <c r="F65" s="299"/>
      <c r="G65" s="93" t="s">
        <v>202</v>
      </c>
      <c r="H65" s="251">
        <v>8</v>
      </c>
      <c r="I65" s="106">
        <v>110000</v>
      </c>
      <c r="J65" s="52">
        <f>+H65*I65</f>
        <v>880000</v>
      </c>
      <c r="K65" s="159"/>
      <c r="L65" s="97">
        <v>220000</v>
      </c>
      <c r="M65" s="97">
        <v>220000</v>
      </c>
      <c r="N65" s="97">
        <v>440000</v>
      </c>
      <c r="O65" s="253" t="s">
        <v>42</v>
      </c>
      <c r="P65" s="254">
        <v>98</v>
      </c>
      <c r="Q65" s="254">
        <v>2071</v>
      </c>
      <c r="R65" s="253">
        <v>2</v>
      </c>
      <c r="S65" s="253">
        <v>2</v>
      </c>
      <c r="T65" s="253">
        <v>1</v>
      </c>
      <c r="U65" s="253"/>
    </row>
    <row r="66" spans="1:25" s="7" customFormat="1" ht="57.75" customHeight="1" thickBot="1" x14ac:dyDescent="0.3">
      <c r="B66" s="304"/>
      <c r="C66" s="304"/>
      <c r="D66" s="304"/>
      <c r="E66" s="299"/>
      <c r="F66" s="299"/>
      <c r="G66" s="93" t="s">
        <v>203</v>
      </c>
      <c r="H66" s="251">
        <v>1000</v>
      </c>
      <c r="I66" s="106">
        <v>15</v>
      </c>
      <c r="J66" s="159">
        <v>150000</v>
      </c>
      <c r="K66" s="159"/>
      <c r="L66" s="97">
        <v>150000</v>
      </c>
      <c r="M66" s="97"/>
      <c r="N66" s="97"/>
      <c r="O66" s="253" t="s">
        <v>42</v>
      </c>
      <c r="P66" s="254">
        <v>98</v>
      </c>
      <c r="Q66" s="254">
        <v>2071</v>
      </c>
      <c r="R66" s="253">
        <v>2</v>
      </c>
      <c r="S66" s="253">
        <v>2</v>
      </c>
      <c r="T66" s="253">
        <v>2</v>
      </c>
      <c r="U66" s="253"/>
    </row>
    <row r="67" spans="1:25" s="7" customFormat="1" ht="74.25" customHeight="1" thickBot="1" x14ac:dyDescent="0.3">
      <c r="B67" s="304"/>
      <c r="C67" s="304"/>
      <c r="D67" s="304"/>
      <c r="E67" s="299"/>
      <c r="F67" s="299"/>
      <c r="G67" s="93" t="s">
        <v>204</v>
      </c>
      <c r="H67" s="251">
        <v>46</v>
      </c>
      <c r="I67" s="106">
        <v>260</v>
      </c>
      <c r="J67" s="159">
        <f>+H67*I67</f>
        <v>11960</v>
      </c>
      <c r="K67" s="159">
        <v>3986</v>
      </c>
      <c r="L67" s="97">
        <v>3986</v>
      </c>
      <c r="M67" s="97">
        <v>3986</v>
      </c>
      <c r="N67" s="97"/>
      <c r="O67" s="253" t="s">
        <v>42</v>
      </c>
      <c r="P67" s="254">
        <v>98</v>
      </c>
      <c r="Q67" s="254">
        <v>2071</v>
      </c>
      <c r="R67" s="253">
        <v>3</v>
      </c>
      <c r="S67" s="253">
        <v>7</v>
      </c>
      <c r="T67" s="253">
        <v>1</v>
      </c>
      <c r="U67" s="253">
        <v>2</v>
      </c>
    </row>
    <row r="68" spans="1:25" s="121" customFormat="1" ht="27.75" customHeight="1" thickBot="1" x14ac:dyDescent="0.3">
      <c r="A68" s="7"/>
      <c r="B68" s="304"/>
      <c r="C68" s="304"/>
      <c r="D68" s="304"/>
      <c r="E68" s="299"/>
      <c r="F68" s="299"/>
      <c r="G68" s="93" t="s">
        <v>38</v>
      </c>
      <c r="H68" s="251">
        <v>6</v>
      </c>
      <c r="I68" s="106">
        <v>15900</v>
      </c>
      <c r="J68" s="159">
        <f t="shared" ref="J68:J79" si="4">+H68*I68</f>
        <v>95400</v>
      </c>
      <c r="K68" s="159">
        <v>5300</v>
      </c>
      <c r="L68" s="97">
        <v>5300</v>
      </c>
      <c r="M68" s="97">
        <v>5300</v>
      </c>
      <c r="N68" s="97"/>
      <c r="O68" s="253" t="s">
        <v>42</v>
      </c>
      <c r="P68" s="254">
        <v>98</v>
      </c>
      <c r="Q68" s="254">
        <v>2071</v>
      </c>
      <c r="R68" s="253">
        <v>2</v>
      </c>
      <c r="S68" s="253">
        <v>3</v>
      </c>
      <c r="T68" s="253">
        <v>1</v>
      </c>
      <c r="U68" s="253"/>
    </row>
    <row r="69" spans="1:25" s="7" customFormat="1" ht="27.75" customHeight="1" thickBot="1" x14ac:dyDescent="0.3">
      <c r="B69" s="304"/>
      <c r="C69" s="304"/>
      <c r="D69" s="304"/>
      <c r="E69" s="299"/>
      <c r="F69" s="299"/>
      <c r="G69" s="93" t="s">
        <v>205</v>
      </c>
      <c r="H69" s="251">
        <v>84</v>
      </c>
      <c r="I69" s="106">
        <v>8</v>
      </c>
      <c r="J69" s="159">
        <f t="shared" si="4"/>
        <v>672</v>
      </c>
      <c r="K69" s="159">
        <v>224</v>
      </c>
      <c r="L69" s="97">
        <v>224</v>
      </c>
      <c r="M69" s="97">
        <v>224</v>
      </c>
      <c r="N69" s="97">
        <v>224</v>
      </c>
      <c r="O69" s="253" t="s">
        <v>42</v>
      </c>
      <c r="P69" s="254">
        <v>98</v>
      </c>
      <c r="Q69" s="254">
        <v>2071</v>
      </c>
      <c r="R69" s="253">
        <v>3</v>
      </c>
      <c r="S69" s="253">
        <v>9</v>
      </c>
      <c r="T69" s="253">
        <v>2</v>
      </c>
      <c r="U69" s="253"/>
    </row>
    <row r="70" spans="1:25" s="7" customFormat="1" ht="42.75" customHeight="1" thickBot="1" x14ac:dyDescent="0.3">
      <c r="B70" s="304"/>
      <c r="C70" s="304"/>
      <c r="D70" s="304"/>
      <c r="E70" s="299"/>
      <c r="F70" s="299"/>
      <c r="G70" s="93" t="s">
        <v>206</v>
      </c>
      <c r="H70" s="251">
        <v>7</v>
      </c>
      <c r="I70" s="106">
        <v>228</v>
      </c>
      <c r="J70" s="159">
        <f t="shared" si="4"/>
        <v>1596</v>
      </c>
      <c r="K70" s="159">
        <v>399</v>
      </c>
      <c r="L70" s="97">
        <v>399</v>
      </c>
      <c r="M70" s="97">
        <v>399</v>
      </c>
      <c r="N70" s="97">
        <v>399</v>
      </c>
      <c r="O70" s="253" t="s">
        <v>42</v>
      </c>
      <c r="P70" s="254">
        <v>98</v>
      </c>
      <c r="Q70" s="254">
        <v>2071</v>
      </c>
      <c r="R70" s="253">
        <v>3</v>
      </c>
      <c r="S70" s="253">
        <v>3</v>
      </c>
      <c r="T70" s="253">
        <v>1</v>
      </c>
      <c r="U70" s="253"/>
    </row>
    <row r="71" spans="1:25" s="7" customFormat="1" ht="57" customHeight="1" thickBot="1" x14ac:dyDescent="0.3">
      <c r="B71" s="304"/>
      <c r="C71" s="304"/>
      <c r="D71" s="304"/>
      <c r="E71" s="299"/>
      <c r="F71" s="299"/>
      <c r="G71" s="93" t="s">
        <v>207</v>
      </c>
      <c r="H71" s="251">
        <v>84</v>
      </c>
      <c r="I71" s="106">
        <v>8</v>
      </c>
      <c r="J71" s="159">
        <f t="shared" si="4"/>
        <v>672</v>
      </c>
      <c r="K71" s="159">
        <v>224</v>
      </c>
      <c r="L71" s="97">
        <v>224</v>
      </c>
      <c r="M71" s="97">
        <v>224</v>
      </c>
      <c r="N71" s="97">
        <v>224</v>
      </c>
      <c r="O71" s="253" t="s">
        <v>42</v>
      </c>
      <c r="P71" s="254">
        <v>98</v>
      </c>
      <c r="Q71" s="254">
        <v>2071</v>
      </c>
      <c r="R71" s="253">
        <v>3</v>
      </c>
      <c r="S71" s="253">
        <v>9</v>
      </c>
      <c r="T71" s="253">
        <v>2</v>
      </c>
      <c r="U71" s="253"/>
    </row>
    <row r="72" spans="1:25" s="7" customFormat="1" ht="66.75" customHeight="1" thickBot="1" x14ac:dyDescent="0.3">
      <c r="B72" s="304"/>
      <c r="C72" s="304"/>
      <c r="D72" s="304"/>
      <c r="E72" s="299"/>
      <c r="F72" s="299"/>
      <c r="G72" s="93" t="s">
        <v>208</v>
      </c>
      <c r="H72" s="251">
        <v>1</v>
      </c>
      <c r="I72" s="106">
        <v>100000</v>
      </c>
      <c r="J72" s="159">
        <f t="shared" si="4"/>
        <v>100000</v>
      </c>
      <c r="K72" s="159"/>
      <c r="L72" s="97"/>
      <c r="M72" s="97">
        <v>100000</v>
      </c>
      <c r="N72" s="97"/>
      <c r="O72" s="253" t="s">
        <v>42</v>
      </c>
      <c r="P72" s="254">
        <v>98</v>
      </c>
      <c r="Q72" s="254">
        <v>2071</v>
      </c>
      <c r="R72" s="253">
        <v>2</v>
      </c>
      <c r="S72" s="253">
        <v>8</v>
      </c>
      <c r="T72" s="253">
        <v>7</v>
      </c>
      <c r="U72" s="253">
        <v>5</v>
      </c>
    </row>
    <row r="73" spans="1:25" s="7" customFormat="1" ht="50.25" customHeight="1" thickBot="1" x14ac:dyDescent="0.3">
      <c r="B73" s="304"/>
      <c r="C73" s="304"/>
      <c r="D73" s="304"/>
      <c r="E73" s="299"/>
      <c r="F73" s="299"/>
      <c r="G73" s="93" t="s">
        <v>209</v>
      </c>
      <c r="H73" s="251">
        <v>3000</v>
      </c>
      <c r="I73" s="106">
        <v>26</v>
      </c>
      <c r="J73" s="159">
        <f t="shared" si="4"/>
        <v>78000</v>
      </c>
      <c r="K73" s="159">
        <v>19500</v>
      </c>
      <c r="L73" s="97">
        <v>19500</v>
      </c>
      <c r="M73" s="97">
        <v>19500</v>
      </c>
      <c r="N73" s="97">
        <v>19500</v>
      </c>
      <c r="O73" s="253" t="s">
        <v>42</v>
      </c>
      <c r="P73" s="254">
        <v>98</v>
      </c>
      <c r="Q73" s="254">
        <v>2071</v>
      </c>
      <c r="R73" s="253">
        <v>3</v>
      </c>
      <c r="S73" s="253">
        <v>9</v>
      </c>
      <c r="T73" s="253">
        <v>2</v>
      </c>
      <c r="U73" s="253"/>
      <c r="X73" s="7" t="s">
        <v>37</v>
      </c>
      <c r="Y73" s="64" t="e">
        <f>+#REF!+#REF!+#REF!+#REF!</f>
        <v>#REF!</v>
      </c>
    </row>
    <row r="74" spans="1:25" s="7" customFormat="1" ht="28.5" customHeight="1" thickBot="1" x14ac:dyDescent="0.3">
      <c r="B74" s="304"/>
      <c r="C74" s="304"/>
      <c r="D74" s="304"/>
      <c r="E74" s="299"/>
      <c r="F74" s="299"/>
      <c r="G74" s="93" t="s">
        <v>210</v>
      </c>
      <c r="H74" s="251">
        <v>1</v>
      </c>
      <c r="I74" s="106">
        <v>400000</v>
      </c>
      <c r="J74" s="159">
        <f t="shared" si="4"/>
        <v>400000</v>
      </c>
      <c r="K74" s="159"/>
      <c r="L74" s="97"/>
      <c r="M74" s="97">
        <v>400000</v>
      </c>
      <c r="N74" s="97"/>
      <c r="O74" s="253" t="s">
        <v>42</v>
      </c>
      <c r="P74" s="254">
        <v>98</v>
      </c>
      <c r="Q74" s="254">
        <v>2071</v>
      </c>
      <c r="R74" s="253">
        <v>2</v>
      </c>
      <c r="S74" s="253">
        <v>8</v>
      </c>
      <c r="T74" s="253">
        <v>7</v>
      </c>
      <c r="U74" s="253">
        <v>6</v>
      </c>
      <c r="Y74" s="64" t="e">
        <f>+Y73-#REF!</f>
        <v>#REF!</v>
      </c>
    </row>
    <row r="75" spans="1:25" s="7" customFormat="1" ht="48.75" customHeight="1" thickBot="1" x14ac:dyDescent="0.3">
      <c r="B75" s="304"/>
      <c r="C75" s="304"/>
      <c r="D75" s="304"/>
      <c r="E75" s="299"/>
      <c r="F75" s="299"/>
      <c r="G75" s="93" t="s">
        <v>211</v>
      </c>
      <c r="H75" s="251">
        <v>1000</v>
      </c>
      <c r="I75" s="106">
        <v>200</v>
      </c>
      <c r="J75" s="159">
        <f t="shared" si="4"/>
        <v>200000</v>
      </c>
      <c r="K75" s="159"/>
      <c r="L75" s="97"/>
      <c r="M75" s="97"/>
      <c r="N75" s="97">
        <v>200000</v>
      </c>
      <c r="O75" s="253" t="s">
        <v>42</v>
      </c>
      <c r="P75" s="254">
        <v>98</v>
      </c>
      <c r="Q75" s="254">
        <v>2071</v>
      </c>
      <c r="R75" s="253">
        <v>2</v>
      </c>
      <c r="S75" s="253">
        <v>2</v>
      </c>
      <c r="T75" s="253">
        <v>2</v>
      </c>
      <c r="U75" s="253"/>
    </row>
    <row r="76" spans="1:25" s="7" customFormat="1" ht="78.75" customHeight="1" thickBot="1" x14ac:dyDescent="0.3">
      <c r="B76" s="305"/>
      <c r="C76" s="305"/>
      <c r="D76" s="305"/>
      <c r="E76" s="299"/>
      <c r="F76" s="299"/>
      <c r="G76" s="93" t="s">
        <v>212</v>
      </c>
      <c r="H76" s="251">
        <v>2</v>
      </c>
      <c r="I76" s="106">
        <v>17000</v>
      </c>
      <c r="J76" s="159">
        <f t="shared" si="4"/>
        <v>34000</v>
      </c>
      <c r="K76" s="159"/>
      <c r="L76" s="97"/>
      <c r="M76" s="97">
        <v>34000</v>
      </c>
      <c r="N76" s="97"/>
      <c r="O76" s="253" t="s">
        <v>42</v>
      </c>
      <c r="P76" s="278">
        <v>98</v>
      </c>
      <c r="Q76" s="278">
        <v>2071</v>
      </c>
      <c r="R76" s="253">
        <v>6</v>
      </c>
      <c r="S76" s="253">
        <v>1</v>
      </c>
      <c r="T76" s="253">
        <v>1</v>
      </c>
      <c r="U76" s="253"/>
    </row>
    <row r="77" spans="1:25" s="7" customFormat="1" ht="27.75" customHeight="1" thickBot="1" x14ac:dyDescent="0.3">
      <c r="B77" s="303" t="s">
        <v>79</v>
      </c>
      <c r="C77" s="304" t="s">
        <v>80</v>
      </c>
      <c r="D77" s="304">
        <v>6</v>
      </c>
      <c r="E77" s="376" t="s">
        <v>222</v>
      </c>
      <c r="F77" s="377"/>
      <c r="G77" s="272" t="s">
        <v>213</v>
      </c>
      <c r="H77" s="273">
        <v>12</v>
      </c>
      <c r="I77" s="274">
        <v>700000</v>
      </c>
      <c r="J77" s="275">
        <f t="shared" si="4"/>
        <v>8400000</v>
      </c>
      <c r="K77" s="275">
        <v>2100000</v>
      </c>
      <c r="L77" s="275">
        <v>2100000</v>
      </c>
      <c r="M77" s="275">
        <v>2100000</v>
      </c>
      <c r="N77" s="275">
        <v>2100000</v>
      </c>
      <c r="O77" s="250" t="s">
        <v>42</v>
      </c>
      <c r="P77" s="277">
        <v>98</v>
      </c>
      <c r="Q77" s="277">
        <v>2071</v>
      </c>
      <c r="R77" s="250">
        <v>1</v>
      </c>
      <c r="S77" s="250">
        <v>1</v>
      </c>
      <c r="T77" s="250">
        <v>2</v>
      </c>
      <c r="U77" s="250">
        <v>1</v>
      </c>
    </row>
    <row r="78" spans="1:25" s="7" customFormat="1" ht="32.25" customHeight="1" thickBot="1" x14ac:dyDescent="0.3">
      <c r="B78" s="304"/>
      <c r="C78" s="304"/>
      <c r="D78" s="304"/>
      <c r="E78" s="376"/>
      <c r="F78" s="377"/>
      <c r="G78" s="93" t="s">
        <v>214</v>
      </c>
      <c r="H78" s="251">
        <v>55</v>
      </c>
      <c r="I78" s="106">
        <v>8801</v>
      </c>
      <c r="J78" s="227">
        <f>SUM(K78:N78)</f>
        <v>484055</v>
      </c>
      <c r="K78" s="159">
        <f>+I78*H78/4</f>
        <v>121013.75</v>
      </c>
      <c r="L78" s="159">
        <f>+K78</f>
        <v>121013.75</v>
      </c>
      <c r="M78" s="159">
        <f>+L78</f>
        <v>121013.75</v>
      </c>
      <c r="N78" s="159">
        <f>+M78</f>
        <v>121013.75</v>
      </c>
      <c r="O78" s="251" t="s">
        <v>42</v>
      </c>
      <c r="P78" s="192">
        <v>98</v>
      </c>
      <c r="Q78" s="192">
        <v>2071</v>
      </c>
      <c r="R78" s="251">
        <v>1</v>
      </c>
      <c r="S78" s="251">
        <v>1</v>
      </c>
      <c r="T78" s="251">
        <v>2</v>
      </c>
      <c r="U78" s="253">
        <v>7</v>
      </c>
    </row>
    <row r="79" spans="1:25" s="7" customFormat="1" ht="37.5" customHeight="1" thickBot="1" x14ac:dyDescent="0.3">
      <c r="B79" s="304"/>
      <c r="C79" s="304"/>
      <c r="D79" s="304"/>
      <c r="E79" s="376"/>
      <c r="F79" s="377"/>
      <c r="G79" s="93" t="s">
        <v>215</v>
      </c>
      <c r="H79" s="251">
        <v>10</v>
      </c>
      <c r="I79" s="106">
        <v>5500</v>
      </c>
      <c r="J79" s="159">
        <f t="shared" si="4"/>
        <v>55000</v>
      </c>
      <c r="K79" s="159"/>
      <c r="L79" s="159">
        <v>27500</v>
      </c>
      <c r="M79" s="159">
        <v>13750</v>
      </c>
      <c r="N79" s="159">
        <v>13750</v>
      </c>
      <c r="O79" s="253" t="s">
        <v>42</v>
      </c>
      <c r="P79" s="254">
        <v>98</v>
      </c>
      <c r="Q79" s="254">
        <v>2071</v>
      </c>
      <c r="R79" s="253">
        <v>3</v>
      </c>
      <c r="S79" s="253">
        <v>2</v>
      </c>
      <c r="T79" s="253">
        <v>3</v>
      </c>
      <c r="U79" s="253"/>
    </row>
    <row r="80" spans="1:25" s="7" customFormat="1" ht="48.75" customHeight="1" thickBot="1" x14ac:dyDescent="0.3">
      <c r="A80" s="15"/>
      <c r="B80" s="305"/>
      <c r="C80" s="305"/>
      <c r="D80" s="305"/>
      <c r="E80" s="378"/>
      <c r="F80" s="379"/>
      <c r="G80" s="93" t="s">
        <v>271</v>
      </c>
      <c r="H80" s="251">
        <v>30</v>
      </c>
      <c r="I80" s="106">
        <v>50000</v>
      </c>
      <c r="J80" s="228">
        <f>+H80*I80</f>
        <v>1500000</v>
      </c>
      <c r="K80" s="159">
        <v>375000</v>
      </c>
      <c r="L80" s="159">
        <v>375000</v>
      </c>
      <c r="M80" s="159">
        <v>375000</v>
      </c>
      <c r="N80" s="159">
        <v>375000</v>
      </c>
      <c r="O80" s="251" t="s">
        <v>42</v>
      </c>
      <c r="P80" s="279">
        <v>98</v>
      </c>
      <c r="Q80" s="279">
        <v>2071</v>
      </c>
      <c r="R80" s="251">
        <v>2</v>
      </c>
      <c r="S80" s="251">
        <v>8</v>
      </c>
      <c r="T80" s="251">
        <v>7</v>
      </c>
      <c r="U80" s="251">
        <v>4</v>
      </c>
    </row>
    <row r="81" spans="1:21" s="7" customFormat="1" ht="32.25" customHeight="1" thickBot="1" x14ac:dyDescent="0.3">
      <c r="B81" s="303"/>
      <c r="C81" s="303"/>
      <c r="D81" s="303"/>
      <c r="E81" s="380"/>
      <c r="F81" s="381"/>
      <c r="G81" s="93" t="s">
        <v>217</v>
      </c>
      <c r="H81" s="251">
        <v>500</v>
      </c>
      <c r="I81" s="106">
        <v>350</v>
      </c>
      <c r="J81" s="212">
        <f>+H81*I81</f>
        <v>175000</v>
      </c>
      <c r="K81" s="159">
        <v>43750</v>
      </c>
      <c r="L81" s="159">
        <v>43750</v>
      </c>
      <c r="M81" s="159">
        <v>43750</v>
      </c>
      <c r="N81" s="159">
        <v>43750</v>
      </c>
      <c r="O81" s="253" t="s">
        <v>42</v>
      </c>
      <c r="P81" s="280">
        <v>98</v>
      </c>
      <c r="Q81" s="280">
        <v>2071</v>
      </c>
      <c r="R81" s="253">
        <v>1</v>
      </c>
      <c r="S81" s="253">
        <v>2</v>
      </c>
      <c r="T81" s="253">
        <v>2</v>
      </c>
      <c r="U81" s="253">
        <v>3</v>
      </c>
    </row>
    <row r="82" spans="1:21" s="7" customFormat="1" ht="30.75" customHeight="1" thickBot="1" x14ac:dyDescent="0.3">
      <c r="B82" s="305"/>
      <c r="C82" s="305"/>
      <c r="D82" s="305"/>
      <c r="E82" s="378"/>
      <c r="F82" s="379"/>
      <c r="G82" s="93" t="s">
        <v>216</v>
      </c>
      <c r="H82" s="251">
        <v>1</v>
      </c>
      <c r="I82" s="106">
        <v>700000</v>
      </c>
      <c r="J82" s="203">
        <f t="shared" ref="J82:J85" si="5">+H82*I82</f>
        <v>700000</v>
      </c>
      <c r="K82" s="159"/>
      <c r="L82" s="159"/>
      <c r="M82" s="159"/>
      <c r="N82" s="159">
        <v>700000</v>
      </c>
      <c r="O82" s="253" t="s">
        <v>42</v>
      </c>
      <c r="P82" s="278">
        <v>98</v>
      </c>
      <c r="Q82" s="278">
        <v>2071</v>
      </c>
      <c r="R82" s="253">
        <v>1</v>
      </c>
      <c r="S82" s="253">
        <v>1</v>
      </c>
      <c r="T82" s="253">
        <v>4</v>
      </c>
      <c r="U82" s="253"/>
    </row>
    <row r="83" spans="1:21" s="7" customFormat="1" ht="27.75" customHeight="1" thickBot="1" x14ac:dyDescent="0.3">
      <c r="B83" s="303" t="s">
        <v>79</v>
      </c>
      <c r="C83" s="304" t="s">
        <v>80</v>
      </c>
      <c r="D83" s="304">
        <v>6</v>
      </c>
      <c r="E83" s="375" t="s">
        <v>223</v>
      </c>
      <c r="F83" s="375"/>
      <c r="G83" s="272" t="s">
        <v>218</v>
      </c>
      <c r="H83" s="273">
        <v>1</v>
      </c>
      <c r="I83" s="274">
        <v>10000</v>
      </c>
      <c r="J83" s="282">
        <f t="shared" si="5"/>
        <v>10000</v>
      </c>
      <c r="K83" s="275"/>
      <c r="L83" s="275"/>
      <c r="M83" s="275">
        <v>10000</v>
      </c>
      <c r="N83" s="275"/>
      <c r="O83" s="250" t="s">
        <v>42</v>
      </c>
      <c r="P83" s="277">
        <v>98</v>
      </c>
      <c r="Q83" s="277">
        <v>2071</v>
      </c>
      <c r="R83" s="250">
        <v>3</v>
      </c>
      <c r="S83" s="250">
        <v>9</v>
      </c>
      <c r="T83" s="250">
        <v>9</v>
      </c>
      <c r="U83" s="250"/>
    </row>
    <row r="84" spans="1:21" s="7" customFormat="1" ht="30.75" customHeight="1" thickBot="1" x14ac:dyDescent="0.3">
      <c r="B84" s="304"/>
      <c r="C84" s="304"/>
      <c r="D84" s="304"/>
      <c r="E84" s="299"/>
      <c r="F84" s="299"/>
      <c r="G84" s="93" t="s">
        <v>219</v>
      </c>
      <c r="H84" s="248">
        <v>150</v>
      </c>
      <c r="I84" s="106">
        <v>300</v>
      </c>
      <c r="J84" s="203">
        <f t="shared" si="5"/>
        <v>45000</v>
      </c>
      <c r="K84" s="159"/>
      <c r="L84" s="159"/>
      <c r="M84" s="159">
        <v>45000</v>
      </c>
      <c r="N84" s="159"/>
      <c r="O84" s="232" t="s">
        <v>42</v>
      </c>
      <c r="P84" s="243">
        <v>98</v>
      </c>
      <c r="Q84" s="243">
        <v>2071</v>
      </c>
      <c r="R84" s="232">
        <v>3</v>
      </c>
      <c r="S84" s="232">
        <v>1</v>
      </c>
      <c r="T84" s="232">
        <v>1</v>
      </c>
      <c r="U84" s="232">
        <v>1</v>
      </c>
    </row>
    <row r="85" spans="1:21" s="7" customFormat="1" ht="22.5" customHeight="1" thickBot="1" x14ac:dyDescent="0.3">
      <c r="A85" s="15"/>
      <c r="B85" s="304"/>
      <c r="C85" s="304"/>
      <c r="D85" s="304"/>
      <c r="E85" s="299"/>
      <c r="F85" s="299"/>
      <c r="G85" s="93" t="s">
        <v>270</v>
      </c>
      <c r="H85" s="248">
        <v>150</v>
      </c>
      <c r="I85" s="106">
        <v>300</v>
      </c>
      <c r="J85" s="203">
        <f t="shared" si="5"/>
        <v>45000</v>
      </c>
      <c r="K85" s="159"/>
      <c r="L85" s="159"/>
      <c r="M85" s="159">
        <v>45000</v>
      </c>
      <c r="N85" s="159"/>
      <c r="O85" s="248" t="s">
        <v>42</v>
      </c>
      <c r="P85" s="192">
        <v>98</v>
      </c>
      <c r="Q85" s="192">
        <v>2071</v>
      </c>
      <c r="R85" s="248">
        <v>3</v>
      </c>
      <c r="S85" s="248">
        <v>1</v>
      </c>
      <c r="T85" s="248">
        <v>3</v>
      </c>
      <c r="U85" s="248">
        <v>3</v>
      </c>
    </row>
    <row r="86" spans="1:21" s="7" customFormat="1" ht="23.25" customHeight="1" thickBot="1" x14ac:dyDescent="0.3">
      <c r="B86" s="305"/>
      <c r="C86" s="305"/>
      <c r="D86" s="305"/>
      <c r="E86" s="299"/>
      <c r="F86" s="299"/>
      <c r="G86" s="93" t="s">
        <v>220</v>
      </c>
      <c r="H86" s="248">
        <v>150</v>
      </c>
      <c r="I86" s="106">
        <f>+J86/H86</f>
        <v>45856.666666666664</v>
      </c>
      <c r="J86" s="160">
        <v>6878500</v>
      </c>
      <c r="K86" s="159"/>
      <c r="L86" s="159"/>
      <c r="M86" s="159">
        <v>6878500</v>
      </c>
      <c r="N86" s="159"/>
      <c r="O86" s="232" t="s">
        <v>42</v>
      </c>
      <c r="P86" s="243">
        <v>98</v>
      </c>
      <c r="Q86" s="243">
        <v>2071</v>
      </c>
      <c r="R86" s="232">
        <v>1</v>
      </c>
      <c r="S86" s="232">
        <v>4</v>
      </c>
      <c r="T86" s="232">
        <v>2</v>
      </c>
      <c r="U86" s="232">
        <v>3</v>
      </c>
    </row>
    <row r="87" spans="1:21" s="7" customFormat="1" ht="34.5" customHeight="1" thickBot="1" x14ac:dyDescent="0.3">
      <c r="B87" s="232" t="s">
        <v>79</v>
      </c>
      <c r="C87" s="232" t="s">
        <v>80</v>
      </c>
      <c r="D87" s="232">
        <v>6</v>
      </c>
      <c r="E87" s="299" t="s">
        <v>221</v>
      </c>
      <c r="F87" s="299"/>
      <c r="G87" s="93" t="s">
        <v>228</v>
      </c>
      <c r="H87" s="248">
        <v>9</v>
      </c>
      <c r="I87" s="106">
        <v>2050000</v>
      </c>
      <c r="J87" s="160">
        <f>+H87*I87</f>
        <v>18450000</v>
      </c>
      <c r="K87" s="159"/>
      <c r="L87" s="159">
        <v>18450000</v>
      </c>
      <c r="M87" s="159"/>
      <c r="N87" s="159"/>
      <c r="O87" s="232" t="s">
        <v>42</v>
      </c>
      <c r="P87" s="243">
        <v>98</v>
      </c>
      <c r="Q87" s="243">
        <v>2071</v>
      </c>
      <c r="R87" s="232">
        <v>6</v>
      </c>
      <c r="S87" s="232">
        <v>4</v>
      </c>
      <c r="T87" s="232">
        <v>1</v>
      </c>
      <c r="U87" s="232"/>
    </row>
    <row r="88" spans="1:21" s="7" customFormat="1" ht="60" customHeight="1" thickBot="1" x14ac:dyDescent="0.3">
      <c r="B88" s="232" t="s">
        <v>79</v>
      </c>
      <c r="C88" s="232" t="s">
        <v>80</v>
      </c>
      <c r="D88" s="232">
        <v>6</v>
      </c>
      <c r="E88" s="299" t="s">
        <v>226</v>
      </c>
      <c r="F88" s="299"/>
      <c r="G88" s="93" t="s">
        <v>225</v>
      </c>
      <c r="H88" s="248">
        <v>2</v>
      </c>
      <c r="I88" s="106">
        <f>+J88/H88</f>
        <v>3500000</v>
      </c>
      <c r="J88" s="160">
        <v>7000000</v>
      </c>
      <c r="K88" s="159"/>
      <c r="L88" s="159">
        <v>3000000</v>
      </c>
      <c r="M88" s="159"/>
      <c r="N88" s="159">
        <v>4000000</v>
      </c>
      <c r="O88" s="232" t="s">
        <v>42</v>
      </c>
      <c r="P88" s="243">
        <v>98</v>
      </c>
      <c r="Q88" s="243">
        <v>2071</v>
      </c>
      <c r="R88" s="232">
        <v>2</v>
      </c>
      <c r="S88" s="232">
        <v>7</v>
      </c>
      <c r="T88" s="232">
        <v>1</v>
      </c>
      <c r="U88" s="232">
        <v>1</v>
      </c>
    </row>
    <row r="89" spans="1:21" s="7" customFormat="1" ht="27.75" customHeight="1" thickBot="1" x14ac:dyDescent="0.3">
      <c r="B89" s="303" t="s">
        <v>79</v>
      </c>
      <c r="C89" s="303" t="s">
        <v>80</v>
      </c>
      <c r="D89" s="303">
        <v>6</v>
      </c>
      <c r="E89" s="299" t="s">
        <v>227</v>
      </c>
      <c r="F89" s="299"/>
      <c r="G89" s="93" t="s">
        <v>229</v>
      </c>
      <c r="H89" s="248">
        <v>160</v>
      </c>
      <c r="I89" s="106">
        <v>228</v>
      </c>
      <c r="J89" s="159">
        <f>+H89*I89</f>
        <v>36480</v>
      </c>
      <c r="K89" s="159">
        <v>9120</v>
      </c>
      <c r="L89" s="159">
        <v>9120</v>
      </c>
      <c r="M89" s="159">
        <v>9120</v>
      </c>
      <c r="N89" s="159">
        <v>9120</v>
      </c>
      <c r="O89" s="232" t="s">
        <v>42</v>
      </c>
      <c r="P89" s="243">
        <v>98</v>
      </c>
      <c r="Q89" s="243">
        <v>2071</v>
      </c>
      <c r="R89" s="232">
        <v>3</v>
      </c>
      <c r="S89" s="232">
        <v>3</v>
      </c>
      <c r="T89" s="232">
        <v>1</v>
      </c>
      <c r="U89" s="232"/>
    </row>
    <row r="90" spans="1:21" s="7" customFormat="1" ht="24" customHeight="1" thickBot="1" x14ac:dyDescent="0.3">
      <c r="B90" s="304"/>
      <c r="C90" s="304"/>
      <c r="D90" s="304"/>
      <c r="E90" s="299"/>
      <c r="F90" s="299"/>
      <c r="G90" s="93" t="s">
        <v>230</v>
      </c>
      <c r="H90" s="248">
        <v>20</v>
      </c>
      <c r="I90" s="106">
        <v>84</v>
      </c>
      <c r="J90" s="160">
        <f>+H90*I90</f>
        <v>1680</v>
      </c>
      <c r="K90" s="159">
        <v>420</v>
      </c>
      <c r="L90" s="97">
        <v>420</v>
      </c>
      <c r="M90" s="97">
        <v>420</v>
      </c>
      <c r="N90" s="97">
        <v>420</v>
      </c>
      <c r="O90" s="232" t="s">
        <v>42</v>
      </c>
      <c r="P90" s="243">
        <v>98</v>
      </c>
      <c r="Q90" s="243">
        <v>2071</v>
      </c>
      <c r="R90" s="232">
        <v>3</v>
      </c>
      <c r="S90" s="232">
        <v>9</v>
      </c>
      <c r="T90" s="232">
        <v>2</v>
      </c>
      <c r="U90" s="232"/>
    </row>
    <row r="91" spans="1:21" s="7" customFormat="1" ht="47.25" customHeight="1" thickBot="1" x14ac:dyDescent="0.3">
      <c r="B91" s="304"/>
      <c r="C91" s="304"/>
      <c r="D91" s="304"/>
      <c r="E91" s="299"/>
      <c r="F91" s="299"/>
      <c r="G91" s="93" t="s">
        <v>231</v>
      </c>
      <c r="H91" s="248">
        <v>20</v>
      </c>
      <c r="I91" s="106">
        <v>84</v>
      </c>
      <c r="J91" s="160">
        <f>+H91*I91</f>
        <v>1680</v>
      </c>
      <c r="K91" s="159">
        <v>420</v>
      </c>
      <c r="L91" s="97">
        <v>420</v>
      </c>
      <c r="M91" s="97">
        <v>420</v>
      </c>
      <c r="N91" s="97">
        <v>420</v>
      </c>
      <c r="O91" s="232" t="s">
        <v>42</v>
      </c>
      <c r="P91" s="243">
        <v>98</v>
      </c>
      <c r="Q91" s="243">
        <v>2071</v>
      </c>
      <c r="R91" s="232">
        <v>3</v>
      </c>
      <c r="S91" s="232">
        <v>9</v>
      </c>
      <c r="T91" s="232">
        <v>2</v>
      </c>
      <c r="U91" s="232"/>
    </row>
    <row r="92" spans="1:21" s="7" customFormat="1" ht="61.5" customHeight="1" thickBot="1" x14ac:dyDescent="0.3">
      <c r="B92" s="305"/>
      <c r="C92" s="305"/>
      <c r="D92" s="305"/>
      <c r="E92" s="299"/>
      <c r="F92" s="299"/>
      <c r="G92" s="93" t="s">
        <v>38</v>
      </c>
      <c r="H92" s="248">
        <v>10</v>
      </c>
      <c r="I92" s="106">
        <v>7800</v>
      </c>
      <c r="J92" s="160">
        <f>+H92*I92</f>
        <v>78000</v>
      </c>
      <c r="K92" s="159">
        <v>19500</v>
      </c>
      <c r="L92" s="97">
        <v>19500</v>
      </c>
      <c r="M92" s="97">
        <v>19500</v>
      </c>
      <c r="N92" s="97">
        <v>19500</v>
      </c>
      <c r="O92" s="232" t="s">
        <v>42</v>
      </c>
      <c r="P92" s="243">
        <v>98</v>
      </c>
      <c r="Q92" s="243">
        <v>2071</v>
      </c>
      <c r="R92" s="232">
        <v>2</v>
      </c>
      <c r="S92" s="232">
        <v>3</v>
      </c>
      <c r="T92" s="232">
        <v>1</v>
      </c>
      <c r="U92" s="232"/>
    </row>
    <row r="93" spans="1:21" s="7" customFormat="1" ht="36.75" customHeight="1" x14ac:dyDescent="0.25">
      <c r="A93"/>
      <c r="B93"/>
      <c r="C93"/>
      <c r="D93"/>
      <c r="E93"/>
      <c r="F93"/>
      <c r="G93" s="24"/>
      <c r="H93"/>
      <c r="I93"/>
      <c r="J93" s="25">
        <f>SUM(J17:J92)</f>
        <v>90986945.680000007</v>
      </c>
      <c r="K93" s="16"/>
      <c r="L93" s="5"/>
      <c r="M93" s="5"/>
      <c r="N93"/>
      <c r="O93"/>
      <c r="P93"/>
      <c r="Q93"/>
      <c r="R93"/>
      <c r="S93"/>
      <c r="T93"/>
      <c r="U93"/>
    </row>
    <row r="94" spans="1:21" s="7" customFormat="1" ht="29.25" customHeight="1" x14ac:dyDescent="0.25">
      <c r="A94"/>
      <c r="B94"/>
      <c r="C94"/>
      <c r="D94"/>
      <c r="E94"/>
      <c r="F94"/>
      <c r="G94" s="26"/>
      <c r="H94" s="214"/>
      <c r="I94"/>
      <c r="J94" s="16"/>
      <c r="K94" s="16"/>
      <c r="L94" s="214"/>
      <c r="M94" s="11"/>
      <c r="N94"/>
      <c r="O94" s="11"/>
      <c r="P94"/>
      <c r="Q94"/>
      <c r="R94"/>
      <c r="S94"/>
      <c r="T94"/>
      <c r="U94"/>
    </row>
    <row r="95" spans="1:21" s="7" customFormat="1" ht="15.75" x14ac:dyDescent="0.25">
      <c r="A95"/>
      <c r="B95"/>
      <c r="C95"/>
      <c r="D95"/>
      <c r="E95"/>
      <c r="F95" s="11"/>
      <c r="G95" s="27"/>
      <c r="H95"/>
      <c r="I95"/>
      <c r="J95" s="11"/>
      <c r="K95" s="370" t="s">
        <v>276</v>
      </c>
      <c r="L95" s="370"/>
      <c r="M95" s="249">
        <v>90986946</v>
      </c>
      <c r="N95"/>
      <c r="O95"/>
      <c r="P95"/>
      <c r="Q95"/>
      <c r="R95"/>
      <c r="S95"/>
      <c r="T95"/>
      <c r="U95"/>
    </row>
    <row r="96" spans="1:21" s="7" customFormat="1" x14ac:dyDescent="0.25">
      <c r="A96"/>
      <c r="B96"/>
      <c r="C96"/>
      <c r="D96"/>
      <c r="E96"/>
      <c r="F96"/>
      <c r="G96" s="11"/>
      <c r="H96" s="11"/>
      <c r="I96"/>
      <c r="J96" s="229"/>
      <c r="K96" s="11"/>
      <c r="L96" s="11"/>
      <c r="M96" s="11"/>
      <c r="N96"/>
      <c r="O96" s="11"/>
      <c r="P96"/>
      <c r="Q96"/>
      <c r="R96"/>
      <c r="S96"/>
      <c r="T96"/>
      <c r="U96"/>
    </row>
    <row r="97" spans="1:26" s="7" customFormat="1" x14ac:dyDescent="0.25">
      <c r="A97"/>
      <c r="B97"/>
      <c r="C97"/>
      <c r="D97"/>
      <c r="E97"/>
      <c r="F97"/>
      <c r="G97" s="16"/>
      <c r="H97"/>
      <c r="I97"/>
      <c r="J97" s="11"/>
      <c r="K97"/>
      <c r="L97" s="11"/>
      <c r="M97" s="11"/>
      <c r="N97"/>
      <c r="O97"/>
      <c r="P97"/>
      <c r="Q97"/>
      <c r="R97"/>
      <c r="S97"/>
      <c r="T97"/>
      <c r="U97"/>
    </row>
    <row r="98" spans="1:26" s="7" customFormat="1" ht="15.75" x14ac:dyDescent="0.25">
      <c r="A98"/>
      <c r="B98"/>
      <c r="C98"/>
      <c r="D98"/>
      <c r="E98" s="23"/>
      <c r="F98" s="23"/>
      <c r="G98" s="28"/>
      <c r="H98" s="29"/>
      <c r="I98"/>
      <c r="J98" s="11"/>
      <c r="K98"/>
      <c r="L98"/>
      <c r="M98"/>
      <c r="N98"/>
      <c r="O98"/>
      <c r="P98"/>
      <c r="Q98"/>
      <c r="R98"/>
      <c r="S98"/>
      <c r="T98"/>
      <c r="U98"/>
    </row>
    <row r="99" spans="1:26" s="7" customFormat="1" x14ac:dyDescent="0.25">
      <c r="A99"/>
      <c r="B99"/>
      <c r="C99"/>
      <c r="D99"/>
      <c r="E99"/>
      <c r="F99"/>
      <c r="G99" s="11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6" s="7" customFormat="1" ht="15.75" customHeight="1" x14ac:dyDescent="0.25">
      <c r="A100"/>
      <c r="B100"/>
      <c r="C100"/>
      <c r="D100"/>
      <c r="E100"/>
      <c r="F100"/>
      <c r="G100" s="3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6" s="7" customFormat="1" ht="45" customHeight="1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6" s="7" customFormat="1" ht="136.5" customHeight="1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 s="15"/>
    </row>
    <row r="103" spans="1:26" s="7" customFormat="1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6" s="7" customFormat="1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6" s="7" customFormat="1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6" s="7" customFormat="1" ht="16.5" customHeight="1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6" s="7" customFormat="1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6" s="7" customFormat="1" ht="62.25" customHeight="1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 s="121"/>
      <c r="W108" s="121"/>
      <c r="X108" s="121"/>
      <c r="Y108" s="121"/>
    </row>
    <row r="109" spans="1:26" s="15" customFormat="1" ht="19.5" customHeight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 s="121"/>
      <c r="W109" s="121"/>
      <c r="X109" s="121"/>
      <c r="Y109" s="121"/>
      <c r="Z109" s="75"/>
    </row>
    <row r="110" spans="1:26" s="15" customFormat="1" ht="19.5" customHeight="1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 s="121"/>
      <c r="W110" s="121"/>
      <c r="X110" s="121"/>
      <c r="Y110" s="121"/>
      <c r="Z110" s="75"/>
    </row>
    <row r="111" spans="1:26" s="7" customFormat="1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 s="121"/>
      <c r="W111" s="121"/>
      <c r="X111" s="121"/>
      <c r="Y111" s="137" t="e">
        <f>+#REF!-308123715.6</f>
        <v>#REF!</v>
      </c>
    </row>
    <row r="112" spans="1:26" s="7" customFormat="1" ht="15.75" customHeight="1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2" s="7" customFormat="1" ht="25.5" customHeight="1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2" s="7" customFormat="1" ht="241.5" customHeight="1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2" s="7" customFormat="1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2" s="7" customFormat="1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2" s="7" customFormat="1" ht="15.75" customHeight="1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2" s="7" customFormat="1" ht="57" customHeight="1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2" s="7" customFormat="1" ht="45" customHeight="1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 s="64"/>
    </row>
    <row r="120" spans="1:22" s="7" customFormat="1" ht="45" customHeight="1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2" s="7" customFormat="1" ht="45" customHeight="1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2" s="121" customFormat="1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2" s="121" customFormat="1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2" s="121" customFormat="1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2" s="7" customFormat="1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2" s="7" customFormat="1" ht="15.75" customHeight="1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2" s="7" customFormat="1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2" s="7" customFormat="1" ht="213.75" customHeight="1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s="7" customFormat="1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s="7" customFormat="1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s="7" customFormat="1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s="7" customFormat="1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s="7" customFormat="1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s="7" customFormat="1" ht="16.5" customHeight="1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s="7" customFormat="1" ht="41.25" customHeight="1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s="7" customFormat="1" ht="56.25" customHeight="1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s="7" customFormat="1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s="7" customFormat="1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s="7" customFormat="1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s="7" customFormat="1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s="7" customFormat="1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s="7" customFormat="1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s="7" customFormat="1" ht="16.5" customHeight="1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s="7" customFormat="1" ht="36" customHeight="1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s="7" customFormat="1" ht="191.25" customHeight="1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s="7" customFormat="1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s="7" customFormat="1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s="7" customFormat="1" ht="27.75" customHeight="1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s="7" customFormat="1" ht="60" customHeight="1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s="7" customFormat="1" ht="134.25" customHeight="1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s="7" customFormat="1" ht="84" customHeight="1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s="7" customFormat="1" ht="105.75" customHeight="1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s="7" customFormat="1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s="7" customFormat="1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s="7" customFormat="1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s="7" customFormat="1" ht="20.25" customHeight="1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s="7" customFormat="1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s="7" customFormat="1" ht="304.5" customHeight="1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s="7" customFormat="1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s="7" customFormat="1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s="7" customFormat="1" ht="20.25" customHeight="1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s="7" customFormat="1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s="7" customFormat="1" ht="35.1" customHeight="1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s="7" customFormat="1" ht="35.1" customHeight="1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s="7" customFormat="1" ht="35.1" customHeight="1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s="7" customFormat="1" ht="35.1" customHeight="1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s="7" customFormat="1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s="7" customFormat="1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s="7" customFormat="1" ht="16.5" customHeight="1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s="7" customFormat="1" ht="36.75" customHeight="1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s="7" customFormat="1" ht="297" customHeight="1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s="7" customFormat="1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s="7" customFormat="1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s="7" customFormat="1" ht="16.5" customHeight="1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s="7" customFormat="1" ht="57" customHeight="1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s="7" customFormat="1" ht="61.5" customHeight="1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s="7" customFormat="1" ht="63" customHeight="1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s="7" customFormat="1" ht="48" customHeight="1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s="7" customFormat="1" ht="33" customHeight="1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s="7" customFormat="1" ht="30.75" customHeight="1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s="7" customFormat="1" ht="57" customHeight="1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s="7" customFormat="1" ht="42.75" customHeight="1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s="7" customFormat="1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s="7" customFormat="1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s="7" customFormat="1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s="7" customFormat="1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s="7" customFormat="1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s="7" customFormat="1" ht="16.5" customHeight="1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s="7" customFormat="1" ht="42" customHeight="1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s="7" customFormat="1" ht="288.75" customHeight="1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  <row r="191" spans="1:21" s="7" customFormat="1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</row>
    <row r="192" spans="1:21" s="7" customFormat="1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</row>
    <row r="193" spans="1:21" s="7" customFormat="1" ht="17.25" customHeight="1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</row>
    <row r="194" spans="1:21" s="7" customFormat="1" ht="60" customHeight="1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</row>
    <row r="195" spans="1:21" s="7" customFormat="1" ht="35.1" customHeight="1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</row>
    <row r="196" spans="1:21" s="7" customFormat="1" ht="35.1" customHeight="1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</row>
    <row r="197" spans="1:21" s="7" customFormat="1" ht="35.1" customHeight="1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</row>
    <row r="198" spans="1:21" s="7" customFormat="1" ht="35.1" customHeight="1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</row>
    <row r="199" spans="1:21" s="7" customFormat="1" ht="45" customHeight="1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</row>
    <row r="200" spans="1:21" s="7" customFormat="1" ht="45" customHeight="1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</row>
    <row r="201" spans="1:21" s="7" customFormat="1" ht="45" customHeight="1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</row>
    <row r="202" spans="1:21" s="7" customFormat="1" ht="45" customHeight="1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</row>
    <row r="203" spans="1:21" s="7" customFormat="1" ht="45" customHeight="1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</row>
    <row r="204" spans="1:21" s="7" customFormat="1" ht="45" customHeight="1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</row>
    <row r="205" spans="1:21" s="7" customFormat="1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</row>
    <row r="206" spans="1:21" s="7" customFormat="1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</row>
    <row r="207" spans="1:21" s="7" customFormat="1" ht="10.5" customHeight="1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</row>
    <row r="208" spans="1:21" s="7" customFormat="1" ht="16.5" customHeight="1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</row>
    <row r="209" spans="1:21" s="7" customFormat="1" ht="25.5" customHeight="1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</row>
    <row r="210" spans="1:21" s="7" customFormat="1" ht="23.25" customHeight="1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</row>
    <row r="211" spans="1:21" s="7" customFormat="1" ht="191.25" customHeight="1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</row>
    <row r="212" spans="1:21" s="7" customFormat="1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</row>
    <row r="213" spans="1:21" s="7" customFormat="1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</row>
    <row r="214" spans="1:21" s="7" customFormat="1" ht="26.25" customHeight="1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</row>
    <row r="215" spans="1:21" s="7" customFormat="1" ht="56.25" customHeight="1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</row>
    <row r="216" spans="1:21" s="7" customFormat="1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</row>
    <row r="217" spans="1:21" s="7" customFormat="1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</row>
    <row r="218" spans="1:21" s="7" customFormat="1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</row>
    <row r="219" spans="1:21" s="7" customFormat="1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</row>
    <row r="220" spans="1:21" s="7" customFormat="1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</row>
    <row r="221" spans="1:21" s="7" customFormat="1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</row>
    <row r="222" spans="1:21" s="7" customFormat="1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</row>
    <row r="223" spans="1:21" s="7" customFormat="1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</row>
    <row r="224" spans="1:21" s="7" customFormat="1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</row>
    <row r="225" spans="1:39" s="7" customFormat="1" ht="43.5" customHeight="1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</row>
    <row r="226" spans="1:39" s="7" customFormat="1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</row>
    <row r="227" spans="1:39" s="7" customFormat="1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</row>
    <row r="228" spans="1:39" s="7" customFormat="1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</row>
    <row r="229" spans="1:39" s="7" customFormat="1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</row>
    <row r="230" spans="1:39" s="7" customFormat="1" ht="35.1" customHeight="1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</row>
    <row r="231" spans="1:39" s="7" customFormat="1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</row>
    <row r="232" spans="1:39" s="7" customFormat="1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</row>
    <row r="233" spans="1:39" s="7" customFormat="1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</row>
    <row r="234" spans="1:39" s="7" customFormat="1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</row>
    <row r="235" spans="1:39" s="7" customFormat="1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</row>
    <row r="236" spans="1:39" s="7" customFormat="1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</row>
    <row r="237" spans="1:39" s="7" customFormat="1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</row>
    <row r="238" spans="1:39" s="200" customFormat="1" ht="56.25" customHeight="1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 s="226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</row>
    <row r="239" spans="1:39" s="200" customFormat="1" ht="35.1" customHeight="1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</row>
    <row r="240" spans="1:39" s="7" customFormat="1" ht="35.1" customHeight="1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</row>
    <row r="241" spans="1:40" s="7" customFormat="1" ht="35.1" customHeight="1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</row>
    <row r="242" spans="1:40" s="7" customFormat="1" ht="35.1" customHeight="1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</row>
    <row r="243" spans="1:40" s="7" customFormat="1" ht="35.1" customHeight="1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</row>
    <row r="244" spans="1:40" s="7" customFormat="1" ht="35.1" customHeight="1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</row>
    <row r="245" spans="1:40" s="7" customFormat="1" ht="35.1" customHeight="1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</row>
    <row r="246" spans="1:40" s="200" customFormat="1" ht="35.1" customHeight="1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</row>
    <row r="247" spans="1:40" s="7" customFormat="1" ht="35.1" customHeight="1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</row>
    <row r="248" spans="1:40" s="7" customFormat="1" ht="35.1" customHeight="1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</row>
    <row r="249" spans="1:40" s="7" customFormat="1" ht="35.1" customHeight="1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</row>
    <row r="250" spans="1:40" s="7" customFormat="1" ht="35.1" customHeight="1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</row>
    <row r="251" spans="1:40" s="7" customFormat="1" ht="35.1" customHeight="1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</row>
    <row r="252" spans="1:40" s="7" customFormat="1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</row>
    <row r="253" spans="1:40" s="7" customFormat="1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</row>
    <row r="254" spans="1:40" s="200" customFormat="1" ht="74.25" customHeight="1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</row>
    <row r="255" spans="1:40" s="7" customFormat="1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</row>
    <row r="256" spans="1:40" s="7" customFormat="1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</row>
    <row r="257" spans="1:24" s="7" customFormat="1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</row>
    <row r="258" spans="1:24" s="7" customFormat="1" ht="45" customHeight="1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</row>
    <row r="259" spans="1:24" s="7" customFormat="1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</row>
    <row r="260" spans="1:24" s="7" customFormat="1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</row>
    <row r="261" spans="1:24" s="7" customFormat="1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</row>
    <row r="262" spans="1:24" s="7" customFormat="1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</row>
    <row r="263" spans="1:24" s="7" customFormat="1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</row>
    <row r="264" spans="1:24" s="7" customFormat="1" ht="35.1" customHeight="1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</row>
    <row r="265" spans="1:24" s="7" customFormat="1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</row>
    <row r="266" spans="1:24" s="7" customFormat="1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X266" s="7">
        <f>37195786+53791160</f>
        <v>90986946</v>
      </c>
    </row>
    <row r="267" spans="1:24" s="7" customFormat="1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</row>
    <row r="268" spans="1:24" s="7" customFormat="1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</row>
    <row r="269" spans="1:24" s="7" customFormat="1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</row>
    <row r="270" spans="1:24" s="7" customFormat="1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</row>
    <row r="271" spans="1:24" s="7" customFormat="1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</row>
    <row r="272" spans="1:24" s="7" customFormat="1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</row>
    <row r="273" spans="1:42" s="7" customFormat="1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</row>
    <row r="274" spans="1:42" s="7" customFormat="1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</row>
    <row r="275" spans="1:42" s="7" customFormat="1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</row>
    <row r="276" spans="1:42" s="7" customFormat="1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</row>
    <row r="277" spans="1:42" s="7" customFormat="1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</row>
    <row r="278" spans="1:42" s="7" customFormat="1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</row>
    <row r="279" spans="1:42" s="200" customFormat="1" ht="30.75" customHeight="1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</row>
    <row r="280" spans="1:42" s="7" customFormat="1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</row>
    <row r="281" spans="1:42" s="7" customFormat="1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</row>
    <row r="282" spans="1:42" s="7" customFormat="1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</row>
    <row r="283" spans="1:42" s="7" customFormat="1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</row>
    <row r="284" spans="1:42" s="200" customFormat="1" ht="36" customHeight="1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</row>
    <row r="285" spans="1:42" s="7" customFormat="1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</row>
    <row r="286" spans="1:42" s="7" customFormat="1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</row>
    <row r="287" spans="1:42" s="7" customFormat="1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</row>
    <row r="288" spans="1:42" s="7" customFormat="1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</row>
    <row r="289" spans="1:21" s="7" customFormat="1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</row>
    <row r="290" spans="1:21" s="7" customFormat="1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</row>
    <row r="291" spans="1:21" s="7" customFormat="1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</row>
    <row r="292" spans="1:21" ht="24" customHeight="1" x14ac:dyDescent="0.25"/>
    <row r="293" spans="1:21" ht="52.5" customHeight="1" x14ac:dyDescent="0.25"/>
    <row r="294" spans="1:21" ht="43.5" customHeight="1" x14ac:dyDescent="0.25"/>
    <row r="295" spans="1:21" ht="48.75" customHeight="1" x14ac:dyDescent="0.25"/>
    <row r="296" spans="1:21" ht="45.75" customHeight="1" x14ac:dyDescent="0.25"/>
  </sheetData>
  <mergeCells count="80">
    <mergeCell ref="B81:B82"/>
    <mergeCell ref="C81:C82"/>
    <mergeCell ref="D81:D82"/>
    <mergeCell ref="E81:F82"/>
    <mergeCell ref="E17:F21"/>
    <mergeCell ref="E22:F25"/>
    <mergeCell ref="B17:B21"/>
    <mergeCell ref="C17:C21"/>
    <mergeCell ref="D17:D21"/>
    <mergeCell ref="B22:B25"/>
    <mergeCell ref="C22:C25"/>
    <mergeCell ref="D22:D25"/>
    <mergeCell ref="B31:B37"/>
    <mergeCell ref="C31:C37"/>
    <mergeCell ref="D31:D37"/>
    <mergeCell ref="E31:F37"/>
    <mergeCell ref="B1:U1"/>
    <mergeCell ref="B2:J2"/>
    <mergeCell ref="B4:J4"/>
    <mergeCell ref="B6:U6"/>
    <mergeCell ref="K95:L95"/>
    <mergeCell ref="P12:U12"/>
    <mergeCell ref="B9:F9"/>
    <mergeCell ref="B10:D10"/>
    <mergeCell ref="E10:E11"/>
    <mergeCell ref="F10:F11"/>
    <mergeCell ref="G10:G11"/>
    <mergeCell ref="H10:H11"/>
    <mergeCell ref="I10:I11"/>
    <mergeCell ref="J10:J11"/>
    <mergeCell ref="K10:N10"/>
    <mergeCell ref="O10:O11"/>
    <mergeCell ref="P10:U11"/>
    <mergeCell ref="B27:B30"/>
    <mergeCell ref="C27:C30"/>
    <mergeCell ref="D27:D30"/>
    <mergeCell ref="E27:F30"/>
    <mergeCell ref="B14:F14"/>
    <mergeCell ref="B15:D15"/>
    <mergeCell ref="E15:F16"/>
    <mergeCell ref="P15:U15"/>
    <mergeCell ref="G15:J15"/>
    <mergeCell ref="K15:N15"/>
    <mergeCell ref="O15:O16"/>
    <mergeCell ref="E38:F40"/>
    <mergeCell ref="C38:C40"/>
    <mergeCell ref="B38:B40"/>
    <mergeCell ref="D38:D40"/>
    <mergeCell ref="B41:B45"/>
    <mergeCell ref="C41:C45"/>
    <mergeCell ref="D41:D45"/>
    <mergeCell ref="E41:F45"/>
    <mergeCell ref="E46:F46"/>
    <mergeCell ref="B47:B52"/>
    <mergeCell ref="C47:C52"/>
    <mergeCell ref="D47:D52"/>
    <mergeCell ref="E47:F52"/>
    <mergeCell ref="C53:C60"/>
    <mergeCell ref="D53:D60"/>
    <mergeCell ref="E53:F60"/>
    <mergeCell ref="B77:B80"/>
    <mergeCell ref="C77:C80"/>
    <mergeCell ref="D77:D80"/>
    <mergeCell ref="E77:F80"/>
    <mergeCell ref="B89:B92"/>
    <mergeCell ref="C89:C92"/>
    <mergeCell ref="D89:D92"/>
    <mergeCell ref="E89:F92"/>
    <mergeCell ref="E26:F26"/>
    <mergeCell ref="B83:B86"/>
    <mergeCell ref="C83:C86"/>
    <mergeCell ref="D83:D86"/>
    <mergeCell ref="E83:F86"/>
    <mergeCell ref="E87:F87"/>
    <mergeCell ref="E88:F88"/>
    <mergeCell ref="B61:B76"/>
    <mergeCell ref="C61:C76"/>
    <mergeCell ref="D61:D76"/>
    <mergeCell ref="E61:F76"/>
    <mergeCell ref="B53:B60"/>
  </mergeCells>
  <pageMargins left="0.39370078740157483" right="0.19685039370078741" top="0.47244094488188981" bottom="0.59055118110236227" header="0.31496062992125984" footer="0.31496062992125984"/>
  <pageSetup paperSize="163" scale="60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89"/>
  <sheetViews>
    <sheetView topLeftCell="A7" zoomScale="75" zoomScaleNormal="75" workbookViewId="0">
      <selection activeCell="X69" sqref="X69"/>
    </sheetView>
  </sheetViews>
  <sheetFormatPr baseColWidth="10" defaultRowHeight="15" x14ac:dyDescent="0.25"/>
  <cols>
    <col min="1" max="1" width="2.85546875" customWidth="1"/>
    <col min="2" max="2" width="4.42578125" customWidth="1"/>
    <col min="3" max="3" width="12.42578125" customWidth="1"/>
    <col min="4" max="4" width="4.7109375" customWidth="1"/>
    <col min="5" max="5" width="18.85546875" customWidth="1"/>
    <col min="6" max="6" width="22" customWidth="1"/>
    <col min="7" max="7" width="25" customWidth="1"/>
    <col min="8" max="8" width="16.140625" customWidth="1"/>
    <col min="9" max="9" width="17" customWidth="1"/>
    <col min="10" max="11" width="17.5703125" customWidth="1"/>
    <col min="12" max="12" width="15.42578125" customWidth="1"/>
    <col min="13" max="13" width="20.140625" customWidth="1"/>
    <col min="14" max="14" width="17.28515625" customWidth="1"/>
    <col min="15" max="15" width="18.7109375" customWidth="1"/>
    <col min="16" max="16" width="4.28515625" customWidth="1"/>
    <col min="17" max="17" width="7.5703125" customWidth="1"/>
    <col min="18" max="18" width="4.85546875" customWidth="1"/>
    <col min="19" max="19" width="4.5703125" customWidth="1"/>
    <col min="20" max="20" width="4.28515625" customWidth="1"/>
    <col min="21" max="21" width="4.140625" customWidth="1"/>
    <col min="23" max="23" width="12.28515625" bestFit="1" customWidth="1"/>
    <col min="24" max="24" width="11.5703125" bestFit="1" customWidth="1"/>
    <col min="25" max="25" width="21.140625" customWidth="1"/>
    <col min="26" max="26" width="13.7109375" bestFit="1" customWidth="1"/>
  </cols>
  <sheetData>
    <row r="1" spans="1:22" ht="14.25" customHeight="1" x14ac:dyDescent="0.25">
      <c r="A1" s="1"/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</row>
    <row r="2" spans="1:22" s="6" customFormat="1" ht="21.75" customHeight="1" x14ac:dyDescent="0.3">
      <c r="B2" s="359" t="s">
        <v>245</v>
      </c>
      <c r="C2" s="359"/>
      <c r="D2" s="359"/>
      <c r="E2" s="359"/>
      <c r="F2" s="359"/>
      <c r="G2" s="359"/>
      <c r="H2" s="359"/>
      <c r="I2" s="359"/>
      <c r="J2" s="359"/>
      <c r="K2" s="36"/>
      <c r="L2" s="36"/>
      <c r="M2" s="37"/>
      <c r="N2" s="36"/>
      <c r="O2" s="36"/>
    </row>
    <row r="3" spans="1:22" s="6" customFormat="1" ht="21.75" customHeight="1" x14ac:dyDescent="0.3">
      <c r="B3" s="246"/>
      <c r="C3" s="246"/>
      <c r="D3" s="246"/>
      <c r="E3" s="246"/>
      <c r="F3" s="246"/>
      <c r="G3" s="246"/>
      <c r="H3" s="246"/>
      <c r="I3" s="246"/>
      <c r="J3" s="246"/>
      <c r="K3" s="36"/>
      <c r="L3" s="36"/>
      <c r="M3" s="37"/>
      <c r="N3" s="36"/>
      <c r="O3" s="36"/>
    </row>
    <row r="4" spans="1:22" s="6" customFormat="1" ht="18.75" customHeight="1" x14ac:dyDescent="0.3">
      <c r="B4" s="359" t="s">
        <v>76</v>
      </c>
      <c r="C4" s="359"/>
      <c r="D4" s="359"/>
      <c r="E4" s="359"/>
      <c r="F4" s="359"/>
      <c r="G4" s="359"/>
      <c r="H4" s="359"/>
      <c r="I4" s="359"/>
      <c r="J4" s="359"/>
      <c r="K4" s="36"/>
      <c r="L4" s="36"/>
      <c r="M4" s="36"/>
      <c r="N4" s="36"/>
      <c r="O4" s="36"/>
    </row>
    <row r="5" spans="1:22" s="6" customFormat="1" ht="18.75" customHeight="1" x14ac:dyDescent="0.3">
      <c r="B5" s="246"/>
      <c r="C5" s="246"/>
      <c r="D5" s="246"/>
      <c r="E5" s="246"/>
      <c r="F5" s="246"/>
      <c r="G5" s="246"/>
      <c r="H5" s="246"/>
      <c r="I5" s="246"/>
      <c r="J5" s="246"/>
      <c r="K5" s="36"/>
      <c r="L5" s="36"/>
      <c r="M5" s="36"/>
      <c r="N5" s="36"/>
      <c r="O5" s="36"/>
    </row>
    <row r="6" spans="1:22" s="6" customFormat="1" ht="42" customHeight="1" x14ac:dyDescent="0.3">
      <c r="B6" s="360" t="s">
        <v>75</v>
      </c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</row>
    <row r="7" spans="1:22" ht="17.25" x14ac:dyDescent="0.3">
      <c r="A7" s="2"/>
      <c r="B7" s="33"/>
      <c r="C7" s="33"/>
      <c r="D7" s="33"/>
      <c r="E7" s="33"/>
      <c r="F7" s="33"/>
      <c r="G7" s="33"/>
      <c r="H7" s="33"/>
      <c r="I7" s="33"/>
      <c r="J7" s="33"/>
      <c r="K7" s="3"/>
      <c r="L7" s="4"/>
      <c r="M7" s="4"/>
      <c r="N7" s="4"/>
      <c r="O7" s="4"/>
      <c r="P7" s="1"/>
      <c r="Q7" s="1"/>
      <c r="R7" s="1"/>
      <c r="S7" s="1"/>
      <c r="T7" s="1"/>
      <c r="U7" s="1"/>
    </row>
    <row r="8" spans="1:22" s="7" customFormat="1" ht="18" thickBot="1" x14ac:dyDescent="0.35">
      <c r="A8" s="38"/>
      <c r="B8" s="306" t="s">
        <v>77</v>
      </c>
      <c r="C8" s="306"/>
      <c r="D8" s="306"/>
      <c r="E8" s="306"/>
      <c r="F8" s="306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</row>
    <row r="9" spans="1:22" s="5" customFormat="1" ht="16.5" customHeight="1" thickTop="1" thickBot="1" x14ac:dyDescent="0.3">
      <c r="B9" s="296" t="s">
        <v>0</v>
      </c>
      <c r="C9" s="296"/>
      <c r="D9" s="296"/>
      <c r="E9" s="296" t="s">
        <v>1</v>
      </c>
      <c r="F9" s="296" t="s">
        <v>2</v>
      </c>
      <c r="G9" s="319" t="s">
        <v>3</v>
      </c>
      <c r="H9" s="319" t="s">
        <v>4</v>
      </c>
      <c r="I9" s="319" t="s">
        <v>5</v>
      </c>
      <c r="J9" s="319" t="s">
        <v>6</v>
      </c>
      <c r="K9" s="319" t="s">
        <v>7</v>
      </c>
      <c r="L9" s="319"/>
      <c r="M9" s="319"/>
      <c r="N9" s="319"/>
      <c r="O9" s="296" t="s">
        <v>8</v>
      </c>
      <c r="P9" s="296" t="s">
        <v>9</v>
      </c>
      <c r="Q9" s="296"/>
      <c r="R9" s="296"/>
      <c r="S9" s="296"/>
      <c r="T9" s="296"/>
      <c r="U9" s="296"/>
    </row>
    <row r="10" spans="1:22" s="5" customFormat="1" ht="43.5" customHeight="1" thickTop="1" thickBot="1" x14ac:dyDescent="0.3">
      <c r="B10" s="234" t="s">
        <v>10</v>
      </c>
      <c r="C10" s="234" t="s">
        <v>11</v>
      </c>
      <c r="D10" s="234" t="s">
        <v>12</v>
      </c>
      <c r="E10" s="296"/>
      <c r="F10" s="296"/>
      <c r="G10" s="319"/>
      <c r="H10" s="319"/>
      <c r="I10" s="319"/>
      <c r="J10" s="319"/>
      <c r="K10" s="12" t="s">
        <v>13</v>
      </c>
      <c r="L10" s="12" t="s">
        <v>14</v>
      </c>
      <c r="M10" s="12" t="s">
        <v>116</v>
      </c>
      <c r="N10" s="12" t="s">
        <v>15</v>
      </c>
      <c r="O10" s="296"/>
      <c r="P10" s="296"/>
      <c r="Q10" s="296"/>
      <c r="R10" s="296"/>
      <c r="S10" s="296"/>
      <c r="T10" s="296"/>
      <c r="U10" s="296"/>
    </row>
    <row r="11" spans="1:22" s="7" customFormat="1" ht="174.75" customHeight="1" thickTop="1" thickBot="1" x14ac:dyDescent="0.3">
      <c r="B11" s="235" t="s">
        <v>79</v>
      </c>
      <c r="C11" s="235" t="s">
        <v>80</v>
      </c>
      <c r="D11" s="235">
        <v>6</v>
      </c>
      <c r="E11" s="41" t="s">
        <v>81</v>
      </c>
      <c r="F11" s="239" t="s">
        <v>16</v>
      </c>
      <c r="G11" s="235" t="s">
        <v>17</v>
      </c>
      <c r="H11" s="235" t="s">
        <v>18</v>
      </c>
      <c r="I11" s="43">
        <v>1.0009999999999999</v>
      </c>
      <c r="J11" s="43">
        <v>1.659</v>
      </c>
      <c r="K11" s="247">
        <v>0</v>
      </c>
      <c r="L11" s="247">
        <v>664</v>
      </c>
      <c r="M11" s="247">
        <v>995</v>
      </c>
      <c r="N11" s="45">
        <v>0</v>
      </c>
      <c r="O11" s="46">
        <f>SUM(J16:J19)</f>
        <v>253059934</v>
      </c>
      <c r="P11" s="361" t="s">
        <v>239</v>
      </c>
      <c r="Q11" s="361"/>
      <c r="R11" s="361"/>
      <c r="S11" s="361"/>
      <c r="T11" s="361"/>
      <c r="U11" s="361"/>
    </row>
    <row r="12" spans="1:22" s="7" customFormat="1" x14ac:dyDescent="0.25"/>
    <row r="13" spans="1:22" s="7" customFormat="1" ht="21" customHeight="1" thickBot="1" x14ac:dyDescent="0.35">
      <c r="B13" s="295" t="s">
        <v>78</v>
      </c>
      <c r="C13" s="295"/>
      <c r="D13" s="295"/>
      <c r="E13" s="295"/>
      <c r="F13" s="295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9"/>
    </row>
    <row r="14" spans="1:22" s="5" customFormat="1" ht="26.25" customHeight="1" thickTop="1" thickBot="1" x14ac:dyDescent="0.3">
      <c r="B14" s="296" t="s">
        <v>0</v>
      </c>
      <c r="C14" s="296"/>
      <c r="D14" s="296"/>
      <c r="E14" s="296" t="s">
        <v>19</v>
      </c>
      <c r="F14" s="296"/>
      <c r="G14" s="319" t="s">
        <v>20</v>
      </c>
      <c r="H14" s="319"/>
      <c r="I14" s="319"/>
      <c r="J14" s="319"/>
      <c r="K14" s="319" t="s">
        <v>21</v>
      </c>
      <c r="L14" s="319"/>
      <c r="M14" s="319"/>
      <c r="N14" s="319"/>
      <c r="O14" s="296" t="s">
        <v>22</v>
      </c>
      <c r="P14" s="319" t="s">
        <v>23</v>
      </c>
      <c r="Q14" s="319"/>
      <c r="R14" s="319"/>
      <c r="S14" s="319"/>
      <c r="T14" s="319"/>
      <c r="U14" s="319"/>
    </row>
    <row r="15" spans="1:22" s="5" customFormat="1" ht="57" customHeight="1" thickTop="1" thickBot="1" x14ac:dyDescent="0.3">
      <c r="B15" s="234" t="s">
        <v>10</v>
      </c>
      <c r="C15" s="234" t="s">
        <v>11</v>
      </c>
      <c r="D15" s="234" t="s">
        <v>12</v>
      </c>
      <c r="E15" s="296"/>
      <c r="F15" s="296"/>
      <c r="G15" s="12" t="s">
        <v>41</v>
      </c>
      <c r="H15" s="12" t="s">
        <v>24</v>
      </c>
      <c r="I15" s="12" t="s">
        <v>25</v>
      </c>
      <c r="J15" s="12" t="s">
        <v>26</v>
      </c>
      <c r="K15" s="12" t="s">
        <v>13</v>
      </c>
      <c r="L15" s="12" t="s">
        <v>14</v>
      </c>
      <c r="M15" s="12" t="s">
        <v>116</v>
      </c>
      <c r="N15" s="12" t="s">
        <v>15</v>
      </c>
      <c r="O15" s="296"/>
      <c r="P15" s="13" t="s">
        <v>27</v>
      </c>
      <c r="Q15" s="13" t="s">
        <v>28</v>
      </c>
      <c r="R15" s="13" t="s">
        <v>29</v>
      </c>
      <c r="S15" s="13" t="s">
        <v>30</v>
      </c>
      <c r="T15" s="13" t="s">
        <v>31</v>
      </c>
      <c r="U15" s="13" t="s">
        <v>32</v>
      </c>
    </row>
    <row r="16" spans="1:22" s="7" customFormat="1" ht="29.25" customHeight="1" thickTop="1" thickBot="1" x14ac:dyDescent="0.3">
      <c r="B16" s="366" t="s">
        <v>79</v>
      </c>
      <c r="C16" s="366" t="s">
        <v>80</v>
      </c>
      <c r="D16" s="366">
        <v>6</v>
      </c>
      <c r="E16" s="362" t="s">
        <v>234</v>
      </c>
      <c r="F16" s="362"/>
      <c r="G16" s="157" t="s">
        <v>248</v>
      </c>
      <c r="H16" s="247">
        <v>20</v>
      </c>
      <c r="I16" s="161">
        <v>227.7</v>
      </c>
      <c r="J16" s="158">
        <f>+I16*20</f>
        <v>4554</v>
      </c>
      <c r="K16" s="158"/>
      <c r="L16" s="158">
        <f>+J16/2</f>
        <v>2277</v>
      </c>
      <c r="M16" s="158">
        <v>2277</v>
      </c>
      <c r="N16" s="158"/>
      <c r="O16" s="247" t="s">
        <v>33</v>
      </c>
      <c r="P16" s="181">
        <v>98</v>
      </c>
      <c r="Q16" s="182">
        <v>2071</v>
      </c>
      <c r="R16" s="247">
        <v>3</v>
      </c>
      <c r="S16" s="247">
        <v>3</v>
      </c>
      <c r="T16" s="247">
        <v>1</v>
      </c>
      <c r="U16" s="247"/>
      <c r="V16" s="15"/>
    </row>
    <row r="17" spans="2:22" s="7" customFormat="1" ht="39" customHeight="1" thickTop="1" thickBot="1" x14ac:dyDescent="0.3">
      <c r="B17" s="367"/>
      <c r="C17" s="367"/>
      <c r="D17" s="367"/>
      <c r="E17" s="363"/>
      <c r="F17" s="363"/>
      <c r="G17" s="93" t="s">
        <v>253</v>
      </c>
      <c r="H17" s="248">
        <v>1659</v>
      </c>
      <c r="I17" s="106">
        <v>360000</v>
      </c>
      <c r="J17" s="159">
        <f>+H17*I17/4</f>
        <v>149310000</v>
      </c>
      <c r="K17" s="159">
        <v>0</v>
      </c>
      <c r="L17" s="159">
        <f>+I17*L11/4</f>
        <v>59760000</v>
      </c>
      <c r="M17" s="159">
        <f>+I17*M11/4</f>
        <v>89550000</v>
      </c>
      <c r="N17" s="159">
        <v>0</v>
      </c>
      <c r="O17" s="248" t="s">
        <v>34</v>
      </c>
      <c r="P17" s="181">
        <v>98</v>
      </c>
      <c r="Q17" s="182">
        <v>2071</v>
      </c>
      <c r="R17" s="248">
        <v>4</v>
      </c>
      <c r="S17" s="248">
        <v>1</v>
      </c>
      <c r="T17" s="248">
        <v>4</v>
      </c>
      <c r="U17" s="248">
        <v>1</v>
      </c>
      <c r="V17" s="15"/>
    </row>
    <row r="18" spans="2:22" s="121" customFormat="1" ht="94.5" customHeight="1" thickTop="1" thickBot="1" x14ac:dyDescent="0.3">
      <c r="B18" s="248" t="s">
        <v>79</v>
      </c>
      <c r="C18" s="248" t="s">
        <v>80</v>
      </c>
      <c r="D18" s="248">
        <v>6</v>
      </c>
      <c r="E18" s="364" t="s">
        <v>233</v>
      </c>
      <c r="F18" s="365"/>
      <c r="G18" s="93" t="s">
        <v>263</v>
      </c>
      <c r="H18" s="216">
        <v>10</v>
      </c>
      <c r="I18" s="217">
        <v>400000</v>
      </c>
      <c r="J18" s="218">
        <f>+I18*10</f>
        <v>4000000</v>
      </c>
      <c r="K18" s="159">
        <f>+J18/4</f>
        <v>1000000</v>
      </c>
      <c r="L18" s="159">
        <v>1000000</v>
      </c>
      <c r="M18" s="159">
        <v>1000000</v>
      </c>
      <c r="N18" s="159">
        <v>1000000</v>
      </c>
      <c r="O18" s="102" t="s">
        <v>34</v>
      </c>
      <c r="P18" s="181">
        <v>98</v>
      </c>
      <c r="Q18" s="182">
        <v>2071</v>
      </c>
      <c r="R18" s="123">
        <v>4</v>
      </c>
      <c r="S18" s="123">
        <v>1</v>
      </c>
      <c r="T18" s="123">
        <v>4</v>
      </c>
      <c r="U18" s="123">
        <v>1</v>
      </c>
      <c r="V18" s="15"/>
    </row>
    <row r="19" spans="2:22" s="7" customFormat="1" ht="43.5" customHeight="1" thickTop="1" thickBot="1" x14ac:dyDescent="0.3">
      <c r="B19" s="232" t="s">
        <v>79</v>
      </c>
      <c r="C19" s="232" t="s">
        <v>80</v>
      </c>
      <c r="D19" s="232">
        <v>6</v>
      </c>
      <c r="E19" s="330" t="s">
        <v>235</v>
      </c>
      <c r="F19" s="324"/>
      <c r="G19" s="199" t="s">
        <v>254</v>
      </c>
      <c r="H19" s="233">
        <v>913</v>
      </c>
      <c r="I19" s="51">
        <v>109250</v>
      </c>
      <c r="J19" s="51">
        <f>SUM(K19:N19)</f>
        <v>99745380</v>
      </c>
      <c r="K19" s="51">
        <f>99745380/4</f>
        <v>24936345</v>
      </c>
      <c r="L19" s="51">
        <f>99745380/4</f>
        <v>24936345</v>
      </c>
      <c r="M19" s="51">
        <f>99745380/4</f>
        <v>24936345</v>
      </c>
      <c r="N19" s="51">
        <f>99745380/4</f>
        <v>24936345</v>
      </c>
      <c r="O19" s="54" t="s">
        <v>34</v>
      </c>
      <c r="P19" s="181">
        <v>98</v>
      </c>
      <c r="Q19" s="182">
        <v>2071</v>
      </c>
      <c r="R19" s="123">
        <v>4</v>
      </c>
      <c r="S19" s="123">
        <v>1</v>
      </c>
      <c r="T19" s="123">
        <v>4</v>
      </c>
      <c r="U19" s="123">
        <v>1</v>
      </c>
    </row>
    <row r="20" spans="2:22" s="7" customFormat="1" x14ac:dyDescent="0.25">
      <c r="E20" s="56"/>
      <c r="F20" s="56"/>
      <c r="G20" s="57"/>
      <c r="H20" s="58"/>
      <c r="I20" s="58"/>
      <c r="J20" s="58"/>
      <c r="K20" s="58"/>
      <c r="L20" s="58"/>
      <c r="M20" s="58"/>
      <c r="N20" s="58"/>
      <c r="O20" s="59"/>
      <c r="P20" s="59"/>
      <c r="Q20" s="59"/>
      <c r="R20" s="59"/>
      <c r="S20" s="59"/>
      <c r="T20" s="59"/>
    </row>
    <row r="21" spans="2:22" s="7" customFormat="1" ht="18" thickBot="1" x14ac:dyDescent="0.35">
      <c r="B21" s="306" t="s">
        <v>77</v>
      </c>
      <c r="C21" s="306"/>
      <c r="D21" s="306"/>
      <c r="E21" s="306"/>
      <c r="F21" s="306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</row>
    <row r="22" spans="2:22" s="7" customFormat="1" ht="18" customHeight="1" thickTop="1" thickBot="1" x14ac:dyDescent="0.3">
      <c r="B22" s="296" t="s">
        <v>0</v>
      </c>
      <c r="C22" s="296"/>
      <c r="D22" s="296"/>
      <c r="E22" s="296" t="s">
        <v>1</v>
      </c>
      <c r="F22" s="296" t="s">
        <v>2</v>
      </c>
      <c r="G22" s="319" t="s">
        <v>3</v>
      </c>
      <c r="H22" s="319" t="s">
        <v>4</v>
      </c>
      <c r="I22" s="319" t="s">
        <v>5</v>
      </c>
      <c r="J22" s="319" t="s">
        <v>6</v>
      </c>
      <c r="K22" s="319" t="s">
        <v>7</v>
      </c>
      <c r="L22" s="319"/>
      <c r="M22" s="319"/>
      <c r="N22" s="319"/>
      <c r="O22" s="296" t="s">
        <v>8</v>
      </c>
      <c r="P22" s="296" t="s">
        <v>9</v>
      </c>
      <c r="Q22" s="296"/>
      <c r="R22" s="296"/>
      <c r="S22" s="296"/>
      <c r="T22" s="296"/>
      <c r="U22" s="296"/>
    </row>
    <row r="23" spans="2:22" s="7" customFormat="1" ht="38.25" customHeight="1" thickTop="1" thickBot="1" x14ac:dyDescent="0.3">
      <c r="B23" s="234" t="s">
        <v>10</v>
      </c>
      <c r="C23" s="234" t="s">
        <v>11</v>
      </c>
      <c r="D23" s="234" t="s">
        <v>12</v>
      </c>
      <c r="E23" s="296"/>
      <c r="F23" s="296"/>
      <c r="G23" s="319"/>
      <c r="H23" s="319"/>
      <c r="I23" s="319"/>
      <c r="J23" s="319"/>
      <c r="K23" s="12" t="s">
        <v>13</v>
      </c>
      <c r="L23" s="12" t="s">
        <v>14</v>
      </c>
      <c r="M23" s="12" t="s">
        <v>116</v>
      </c>
      <c r="N23" s="12" t="s">
        <v>15</v>
      </c>
      <c r="O23" s="296"/>
      <c r="P23" s="296"/>
      <c r="Q23" s="296"/>
      <c r="R23" s="296"/>
      <c r="S23" s="296"/>
      <c r="T23" s="296"/>
      <c r="U23" s="296"/>
    </row>
    <row r="24" spans="2:22" s="7" customFormat="1" ht="76.5" thickTop="1" thickBot="1" x14ac:dyDescent="0.3">
      <c r="B24" s="235" t="s">
        <v>79</v>
      </c>
      <c r="C24" s="235" t="s">
        <v>80</v>
      </c>
      <c r="D24" s="235">
        <v>6</v>
      </c>
      <c r="E24" s="41" t="s">
        <v>82</v>
      </c>
      <c r="F24" s="239" t="s">
        <v>83</v>
      </c>
      <c r="G24" s="235" t="s">
        <v>17</v>
      </c>
      <c r="H24" s="235" t="s">
        <v>18</v>
      </c>
      <c r="I24" s="60">
        <v>523</v>
      </c>
      <c r="J24" s="235">
        <v>200</v>
      </c>
      <c r="K24" s="247"/>
      <c r="L24" s="247"/>
      <c r="M24" s="247">
        <v>100</v>
      </c>
      <c r="N24" s="45">
        <v>100</v>
      </c>
      <c r="O24" s="46">
        <f>SUM(J29:J31)</f>
        <v>322000</v>
      </c>
      <c r="P24" s="316" t="s">
        <v>85</v>
      </c>
      <c r="Q24" s="317"/>
      <c r="R24" s="317"/>
      <c r="S24" s="317"/>
      <c r="T24" s="317"/>
      <c r="U24" s="318"/>
    </row>
    <row r="25" spans="2:22" s="7" customFormat="1" x14ac:dyDescent="0.25"/>
    <row r="26" spans="2:22" s="7" customFormat="1" ht="18" thickBot="1" x14ac:dyDescent="0.35">
      <c r="B26" s="295" t="s">
        <v>78</v>
      </c>
      <c r="C26" s="295"/>
      <c r="D26" s="295"/>
      <c r="E26" s="295"/>
      <c r="F26" s="2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4"/>
      <c r="R26" s="94"/>
      <c r="S26" s="94"/>
      <c r="T26" s="94"/>
      <c r="U26" s="94"/>
    </row>
    <row r="27" spans="2:22" s="7" customFormat="1" ht="16.5" thickTop="1" thickBot="1" x14ac:dyDescent="0.3">
      <c r="B27" s="296" t="s">
        <v>0</v>
      </c>
      <c r="C27" s="296"/>
      <c r="D27" s="296"/>
      <c r="E27" s="296" t="s">
        <v>19</v>
      </c>
      <c r="F27" s="296"/>
      <c r="G27" s="319" t="s">
        <v>20</v>
      </c>
      <c r="H27" s="319"/>
      <c r="I27" s="319"/>
      <c r="J27" s="319"/>
      <c r="K27" s="319" t="s">
        <v>21</v>
      </c>
      <c r="L27" s="319"/>
      <c r="M27" s="319"/>
      <c r="N27" s="319"/>
      <c r="O27" s="296" t="s">
        <v>22</v>
      </c>
      <c r="P27" s="319" t="s">
        <v>23</v>
      </c>
      <c r="Q27" s="319"/>
      <c r="R27" s="319"/>
      <c r="S27" s="319"/>
      <c r="T27" s="319"/>
      <c r="U27" s="319"/>
    </row>
    <row r="28" spans="2:22" s="7" customFormat="1" ht="55.5" customHeight="1" thickTop="1" thickBot="1" x14ac:dyDescent="0.3">
      <c r="B28" s="234" t="s">
        <v>10</v>
      </c>
      <c r="C28" s="234" t="s">
        <v>11</v>
      </c>
      <c r="D28" s="234" t="s">
        <v>12</v>
      </c>
      <c r="E28" s="296"/>
      <c r="F28" s="296"/>
      <c r="G28" s="12" t="s">
        <v>20</v>
      </c>
      <c r="H28" s="12" t="s">
        <v>24</v>
      </c>
      <c r="I28" s="12" t="s">
        <v>25</v>
      </c>
      <c r="J28" s="12" t="s">
        <v>26</v>
      </c>
      <c r="K28" s="12" t="s">
        <v>13</v>
      </c>
      <c r="L28" s="12" t="s">
        <v>14</v>
      </c>
      <c r="M28" s="12" t="s">
        <v>116</v>
      </c>
      <c r="N28" s="12" t="s">
        <v>15</v>
      </c>
      <c r="O28" s="296"/>
      <c r="P28" s="13" t="s">
        <v>27</v>
      </c>
      <c r="Q28" s="13" t="s">
        <v>28</v>
      </c>
      <c r="R28" s="13" t="s">
        <v>29</v>
      </c>
      <c r="S28" s="13" t="s">
        <v>30</v>
      </c>
      <c r="T28" s="13" t="s">
        <v>31</v>
      </c>
      <c r="U28" s="13" t="s">
        <v>32</v>
      </c>
    </row>
    <row r="29" spans="2:22" s="7" customFormat="1" ht="31.5" thickTop="1" thickBot="1" x14ac:dyDescent="0.3">
      <c r="B29" s="307" t="s">
        <v>79</v>
      </c>
      <c r="C29" s="307" t="s">
        <v>80</v>
      </c>
      <c r="D29" s="307">
        <v>6</v>
      </c>
      <c r="E29" s="291" t="s">
        <v>84</v>
      </c>
      <c r="F29" s="291"/>
      <c r="G29" s="239" t="s">
        <v>255</v>
      </c>
      <c r="H29" s="235">
        <v>10</v>
      </c>
      <c r="I29" s="46">
        <v>1600</v>
      </c>
      <c r="J29" s="50">
        <f>+I29*H29</f>
        <v>16000</v>
      </c>
      <c r="K29" s="50">
        <v>0</v>
      </c>
      <c r="L29" s="50">
        <v>0</v>
      </c>
      <c r="M29" s="50">
        <f>+J29/2</f>
        <v>8000</v>
      </c>
      <c r="N29" s="50">
        <f>+J29/2</f>
        <v>8000</v>
      </c>
      <c r="O29" s="235" t="s">
        <v>34</v>
      </c>
      <c r="P29" s="247">
        <v>98</v>
      </c>
      <c r="Q29" s="180">
        <v>2071</v>
      </c>
      <c r="R29" s="248">
        <v>3</v>
      </c>
      <c r="S29" s="248">
        <v>6</v>
      </c>
      <c r="T29" s="248">
        <v>3</v>
      </c>
      <c r="U29" s="247">
        <v>6</v>
      </c>
    </row>
    <row r="30" spans="2:22" s="7" customFormat="1" ht="30.75" thickBot="1" x14ac:dyDescent="0.3">
      <c r="B30" s="302"/>
      <c r="C30" s="302"/>
      <c r="D30" s="302"/>
      <c r="E30" s="299"/>
      <c r="F30" s="299"/>
      <c r="G30" s="77" t="s">
        <v>252</v>
      </c>
      <c r="H30" s="232">
        <v>20</v>
      </c>
      <c r="I30" s="96">
        <v>300</v>
      </c>
      <c r="J30" s="97">
        <f>+I30*H30</f>
        <v>6000</v>
      </c>
      <c r="K30" s="97">
        <v>0</v>
      </c>
      <c r="L30" s="97">
        <v>0</v>
      </c>
      <c r="M30" s="97">
        <f>+J30/2</f>
        <v>3000</v>
      </c>
      <c r="N30" s="97">
        <f>+J30/2</f>
        <v>3000</v>
      </c>
      <c r="O30" s="232" t="s">
        <v>34</v>
      </c>
      <c r="P30" s="248">
        <v>98</v>
      </c>
      <c r="Q30" s="248">
        <v>2071</v>
      </c>
      <c r="R30" s="248">
        <v>3</v>
      </c>
      <c r="S30" s="248">
        <v>6</v>
      </c>
      <c r="T30" s="248">
        <v>3</v>
      </c>
      <c r="U30" s="248">
        <v>6</v>
      </c>
    </row>
    <row r="31" spans="2:22" s="7" customFormat="1" ht="78" customHeight="1" thickBot="1" x14ac:dyDescent="0.3">
      <c r="B31" s="302"/>
      <c r="C31" s="302"/>
      <c r="D31" s="302"/>
      <c r="E31" s="299"/>
      <c r="F31" s="299"/>
      <c r="G31" s="111" t="s">
        <v>264</v>
      </c>
      <c r="H31" s="248">
        <v>6</v>
      </c>
      <c r="I31" s="166">
        <v>50000</v>
      </c>
      <c r="J31" s="219">
        <f>+I31*H31</f>
        <v>300000</v>
      </c>
      <c r="K31" s="111">
        <v>0</v>
      </c>
      <c r="L31" s="111">
        <v>0</v>
      </c>
      <c r="M31" s="111">
        <f>+J31/2</f>
        <v>150000</v>
      </c>
      <c r="N31" s="111">
        <f>+M31</f>
        <v>150000</v>
      </c>
      <c r="O31" s="111" t="s">
        <v>34</v>
      </c>
      <c r="P31" s="248">
        <v>98</v>
      </c>
      <c r="Q31" s="248">
        <v>2071</v>
      </c>
      <c r="R31" s="248">
        <v>4</v>
      </c>
      <c r="S31" s="248">
        <v>1</v>
      </c>
      <c r="T31" s="248">
        <v>3</v>
      </c>
      <c r="U31" s="248"/>
    </row>
    <row r="32" spans="2:22" s="7" customFormat="1" x14ac:dyDescent="0.25">
      <c r="B32" s="8"/>
      <c r="C32" s="8"/>
      <c r="D32" s="8"/>
      <c r="E32" s="8"/>
      <c r="F32" s="8"/>
      <c r="G32" s="8"/>
      <c r="H32" s="9"/>
      <c r="I32" s="9"/>
      <c r="J32" s="10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2:25" s="7" customFormat="1" x14ac:dyDescent="0.25">
      <c r="B33" s="8"/>
      <c r="C33" s="8"/>
      <c r="D33" s="8"/>
      <c r="E33" s="8"/>
      <c r="F33" s="8"/>
      <c r="G33" s="8"/>
      <c r="H33" s="9"/>
      <c r="I33" s="9"/>
      <c r="J33" s="10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2:25" s="7" customFormat="1" ht="17.25" customHeight="1" thickBot="1" x14ac:dyDescent="0.35">
      <c r="B34" s="306" t="s">
        <v>77</v>
      </c>
      <c r="C34" s="306"/>
      <c r="D34" s="306"/>
      <c r="E34" s="306"/>
      <c r="F34" s="306"/>
      <c r="G34" s="39"/>
      <c r="H34" s="39"/>
      <c r="I34" s="39"/>
      <c r="J34" s="39"/>
      <c r="K34" s="39"/>
      <c r="L34" s="39"/>
      <c r="M34" s="39"/>
      <c r="N34" s="39"/>
      <c r="O34" s="98"/>
      <c r="P34" s="98"/>
      <c r="Q34" s="99"/>
      <c r="R34" s="99"/>
      <c r="S34" s="99"/>
      <c r="T34" s="99"/>
      <c r="U34" s="99"/>
    </row>
    <row r="35" spans="2:25" s="7" customFormat="1" ht="16.5" thickTop="1" thickBot="1" x14ac:dyDescent="0.3">
      <c r="B35" s="308" t="s">
        <v>0</v>
      </c>
      <c r="C35" s="309"/>
      <c r="D35" s="310"/>
      <c r="E35" s="311" t="s">
        <v>1</v>
      </c>
      <c r="F35" s="311" t="s">
        <v>2</v>
      </c>
      <c r="G35" s="346" t="s">
        <v>3</v>
      </c>
      <c r="H35" s="346" t="s">
        <v>4</v>
      </c>
      <c r="I35" s="346" t="s">
        <v>5</v>
      </c>
      <c r="J35" s="346" t="s">
        <v>6</v>
      </c>
      <c r="K35" s="349" t="s">
        <v>7</v>
      </c>
      <c r="L35" s="350"/>
      <c r="M35" s="350"/>
      <c r="N35" s="351"/>
      <c r="O35" s="311" t="s">
        <v>8</v>
      </c>
      <c r="P35" s="352" t="s">
        <v>9</v>
      </c>
      <c r="Q35" s="353"/>
      <c r="R35" s="353"/>
      <c r="S35" s="353"/>
      <c r="T35" s="353"/>
      <c r="U35" s="354"/>
    </row>
    <row r="36" spans="2:25" s="7" customFormat="1" ht="32.25" customHeight="1" thickTop="1" thickBot="1" x14ac:dyDescent="0.3">
      <c r="B36" s="236" t="s">
        <v>10</v>
      </c>
      <c r="C36" s="236" t="s">
        <v>11</v>
      </c>
      <c r="D36" s="236" t="s">
        <v>12</v>
      </c>
      <c r="E36" s="312"/>
      <c r="F36" s="312"/>
      <c r="G36" s="347"/>
      <c r="H36" s="347"/>
      <c r="I36" s="347"/>
      <c r="J36" s="347"/>
      <c r="K36" s="62" t="s">
        <v>13</v>
      </c>
      <c r="L36" s="62" t="s">
        <v>14</v>
      </c>
      <c r="M36" s="62" t="s">
        <v>116</v>
      </c>
      <c r="N36" s="62" t="s">
        <v>15</v>
      </c>
      <c r="O36" s="312"/>
      <c r="P36" s="355"/>
      <c r="Q36" s="356"/>
      <c r="R36" s="356"/>
      <c r="S36" s="356"/>
      <c r="T36" s="356"/>
      <c r="U36" s="357"/>
    </row>
    <row r="37" spans="2:25" s="7" customFormat="1" ht="148.5" customHeight="1" thickTop="1" thickBot="1" x14ac:dyDescent="0.3">
      <c r="B37" s="122" t="s">
        <v>79</v>
      </c>
      <c r="C37" s="122" t="s">
        <v>80</v>
      </c>
      <c r="D37" s="122">
        <v>6</v>
      </c>
      <c r="E37" s="171" t="s">
        <v>86</v>
      </c>
      <c r="F37" s="245" t="s">
        <v>88</v>
      </c>
      <c r="G37" s="122" t="s">
        <v>35</v>
      </c>
      <c r="H37" s="122" t="s">
        <v>18</v>
      </c>
      <c r="I37" s="174">
        <f>44+69+120</f>
        <v>233</v>
      </c>
      <c r="J37" s="122">
        <f>SUM(K37:N37)</f>
        <v>340</v>
      </c>
      <c r="K37" s="172">
        <f>22+32+40</f>
        <v>94</v>
      </c>
      <c r="L37" s="172">
        <f>22+19+40</f>
        <v>81</v>
      </c>
      <c r="M37" s="172">
        <f>22+21+40</f>
        <v>83</v>
      </c>
      <c r="N37" s="173">
        <f>20+22+40</f>
        <v>82</v>
      </c>
      <c r="O37" s="128">
        <f>SUM(J42:J55)</f>
        <v>2987419.9</v>
      </c>
      <c r="P37" s="342" t="s">
        <v>87</v>
      </c>
      <c r="Q37" s="342"/>
      <c r="R37" s="342"/>
      <c r="S37" s="342"/>
      <c r="T37" s="342"/>
      <c r="U37" s="342"/>
    </row>
    <row r="38" spans="2:25" s="7" customFormat="1" x14ac:dyDescent="0.25">
      <c r="B38" s="8"/>
      <c r="C38" s="8"/>
      <c r="D38" s="8"/>
      <c r="E38" s="8"/>
      <c r="F38" s="8"/>
      <c r="G38" s="8"/>
      <c r="H38" s="9"/>
      <c r="I38" s="9"/>
      <c r="J38" s="10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2:25" s="7" customFormat="1" ht="18" thickBot="1" x14ac:dyDescent="0.35">
      <c r="B39" s="295" t="s">
        <v>78</v>
      </c>
      <c r="C39" s="295"/>
      <c r="D39" s="295"/>
      <c r="E39" s="295"/>
      <c r="F39" s="295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1"/>
      <c r="S39" s="101"/>
      <c r="T39" s="101"/>
      <c r="U39" s="101"/>
    </row>
    <row r="40" spans="2:25" s="7" customFormat="1" ht="24.75" customHeight="1" thickTop="1" thickBot="1" x14ac:dyDescent="0.3">
      <c r="B40" s="296" t="s">
        <v>0</v>
      </c>
      <c r="C40" s="296"/>
      <c r="D40" s="296"/>
      <c r="E40" s="296" t="s">
        <v>19</v>
      </c>
      <c r="F40" s="296"/>
      <c r="G40" s="319" t="s">
        <v>20</v>
      </c>
      <c r="H40" s="319"/>
      <c r="I40" s="319"/>
      <c r="J40" s="319"/>
      <c r="K40" s="319" t="s">
        <v>21</v>
      </c>
      <c r="L40" s="319"/>
      <c r="M40" s="319"/>
      <c r="N40" s="319"/>
      <c r="O40" s="296" t="s">
        <v>22</v>
      </c>
      <c r="P40" s="319" t="s">
        <v>23</v>
      </c>
      <c r="Q40" s="319"/>
      <c r="R40" s="319"/>
      <c r="S40" s="319"/>
      <c r="T40" s="319"/>
      <c r="U40" s="319"/>
    </row>
    <row r="41" spans="2:25" s="7" customFormat="1" ht="55.5" customHeight="1" thickTop="1" thickBot="1" x14ac:dyDescent="0.3">
      <c r="B41" s="234" t="s">
        <v>10</v>
      </c>
      <c r="C41" s="234" t="s">
        <v>11</v>
      </c>
      <c r="D41" s="234" t="s">
        <v>12</v>
      </c>
      <c r="E41" s="296"/>
      <c r="F41" s="296"/>
      <c r="G41" s="12" t="s">
        <v>36</v>
      </c>
      <c r="H41" s="12" t="s">
        <v>24</v>
      </c>
      <c r="I41" s="12" t="s">
        <v>25</v>
      </c>
      <c r="J41" s="12" t="s">
        <v>26</v>
      </c>
      <c r="K41" s="12" t="s">
        <v>13</v>
      </c>
      <c r="L41" s="12" t="s">
        <v>14</v>
      </c>
      <c r="M41" s="12" t="s">
        <v>116</v>
      </c>
      <c r="N41" s="12" t="s">
        <v>15</v>
      </c>
      <c r="O41" s="296"/>
      <c r="P41" s="13" t="s">
        <v>27</v>
      </c>
      <c r="Q41" s="13" t="s">
        <v>28</v>
      </c>
      <c r="R41" s="13" t="s">
        <v>29</v>
      </c>
      <c r="S41" s="13" t="s">
        <v>30</v>
      </c>
      <c r="T41" s="13" t="s">
        <v>31</v>
      </c>
      <c r="U41" s="13" t="s">
        <v>32</v>
      </c>
    </row>
    <row r="42" spans="2:25" s="7" customFormat="1" ht="16.5" thickTop="1" thickBot="1" x14ac:dyDescent="0.3">
      <c r="B42" s="307" t="s">
        <v>79</v>
      </c>
      <c r="C42" s="307" t="s">
        <v>80</v>
      </c>
      <c r="D42" s="307">
        <v>6</v>
      </c>
      <c r="E42" s="291" t="s">
        <v>97</v>
      </c>
      <c r="F42" s="291"/>
      <c r="G42" s="109" t="s">
        <v>90</v>
      </c>
      <c r="H42" s="235">
        <f>86</f>
        <v>86</v>
      </c>
      <c r="I42" s="163">
        <v>1625</v>
      </c>
      <c r="J42" s="109">
        <f>SUM(K42:N42)</f>
        <v>139751.5</v>
      </c>
      <c r="K42" s="109">
        <f>+I42*H42/4</f>
        <v>34937.5</v>
      </c>
      <c r="L42" s="109">
        <v>34938</v>
      </c>
      <c r="M42" s="109">
        <v>34938</v>
      </c>
      <c r="N42" s="109">
        <v>34938</v>
      </c>
      <c r="O42" s="235" t="s">
        <v>34</v>
      </c>
      <c r="P42" s="248">
        <v>98</v>
      </c>
      <c r="Q42" s="248">
        <v>2071</v>
      </c>
      <c r="R42" s="248">
        <v>2</v>
      </c>
      <c r="S42" s="248">
        <v>3</v>
      </c>
      <c r="T42" s="235">
        <v>1</v>
      </c>
      <c r="U42" s="235"/>
    </row>
    <row r="43" spans="2:25" s="7" customFormat="1" ht="30.75" thickBot="1" x14ac:dyDescent="0.3">
      <c r="B43" s="302"/>
      <c r="C43" s="302"/>
      <c r="D43" s="302"/>
      <c r="E43" s="299"/>
      <c r="F43" s="299"/>
      <c r="G43" s="110" t="s">
        <v>91</v>
      </c>
      <c r="H43" s="232">
        <f>2500</f>
        <v>2500</v>
      </c>
      <c r="I43" s="162">
        <v>240</v>
      </c>
      <c r="J43" s="162">
        <f t="shared" ref="J43:J55" si="0">+H43*I43</f>
        <v>600000</v>
      </c>
      <c r="K43" s="110">
        <f>+I43*H43/4</f>
        <v>150000</v>
      </c>
      <c r="L43" s="110">
        <v>150000</v>
      </c>
      <c r="M43" s="110">
        <v>150000</v>
      </c>
      <c r="N43" s="110">
        <v>150000</v>
      </c>
      <c r="O43" s="232" t="s">
        <v>34</v>
      </c>
      <c r="P43" s="248">
        <v>98</v>
      </c>
      <c r="Q43" s="248">
        <v>2071</v>
      </c>
      <c r="R43" s="248">
        <v>3</v>
      </c>
      <c r="S43" s="248">
        <v>7</v>
      </c>
      <c r="T43" s="248">
        <v>1</v>
      </c>
      <c r="U43" s="248">
        <v>2</v>
      </c>
    </row>
    <row r="44" spans="2:25" s="7" customFormat="1" ht="15.75" thickBot="1" x14ac:dyDescent="0.3">
      <c r="B44" s="302"/>
      <c r="C44" s="302"/>
      <c r="D44" s="302"/>
      <c r="E44" s="299"/>
      <c r="F44" s="299"/>
      <c r="G44" s="110" t="s">
        <v>94</v>
      </c>
      <c r="H44" s="232">
        <f>80</f>
        <v>80</v>
      </c>
      <c r="I44" s="162">
        <v>40</v>
      </c>
      <c r="J44" s="162">
        <f t="shared" si="0"/>
        <v>3200</v>
      </c>
      <c r="K44" s="110">
        <f>3200/4</f>
        <v>800</v>
      </c>
      <c r="L44" s="110">
        <v>800</v>
      </c>
      <c r="M44" s="110">
        <v>800</v>
      </c>
      <c r="N44" s="110">
        <v>800</v>
      </c>
      <c r="O44" s="232" t="s">
        <v>34</v>
      </c>
      <c r="P44" s="248">
        <v>98</v>
      </c>
      <c r="Q44" s="248">
        <v>2071</v>
      </c>
      <c r="R44" s="248">
        <v>2</v>
      </c>
      <c r="S44" s="248">
        <v>4</v>
      </c>
      <c r="T44" s="248">
        <v>4</v>
      </c>
      <c r="U44" s="248"/>
    </row>
    <row r="45" spans="2:25" s="7" customFormat="1" ht="15.75" thickBot="1" x14ac:dyDescent="0.3">
      <c r="B45" s="302" t="s">
        <v>79</v>
      </c>
      <c r="C45" s="302" t="s">
        <v>80</v>
      </c>
      <c r="D45" s="302">
        <v>6</v>
      </c>
      <c r="E45" s="299" t="s">
        <v>99</v>
      </c>
      <c r="F45" s="299"/>
      <c r="G45" s="113" t="s">
        <v>92</v>
      </c>
      <c r="H45" s="102">
        <v>94</v>
      </c>
      <c r="I45" s="164">
        <v>1500</v>
      </c>
      <c r="J45" s="162">
        <f t="shared" si="0"/>
        <v>141000</v>
      </c>
      <c r="K45" s="165">
        <f>I45*H45/4</f>
        <v>35250</v>
      </c>
      <c r="L45" s="165">
        <f t="shared" ref="L45:N46" si="1">+K45</f>
        <v>35250</v>
      </c>
      <c r="M45" s="165">
        <f t="shared" si="1"/>
        <v>35250</v>
      </c>
      <c r="N45" s="165">
        <f t="shared" si="1"/>
        <v>35250</v>
      </c>
      <c r="O45" s="232" t="s">
        <v>34</v>
      </c>
      <c r="P45" s="248">
        <v>98</v>
      </c>
      <c r="Q45" s="248">
        <v>2071</v>
      </c>
      <c r="R45" s="248">
        <v>2</v>
      </c>
      <c r="S45" s="248">
        <v>3</v>
      </c>
      <c r="T45" s="248">
        <v>1</v>
      </c>
      <c r="U45" s="248"/>
      <c r="X45" s="64"/>
      <c r="Y45" s="64"/>
    </row>
    <row r="46" spans="2:25" s="7" customFormat="1" ht="15.75" thickBot="1" x14ac:dyDescent="0.3">
      <c r="B46" s="302"/>
      <c r="C46" s="302"/>
      <c r="D46" s="302"/>
      <c r="E46" s="299"/>
      <c r="F46" s="299"/>
      <c r="G46" s="113" t="s">
        <v>93</v>
      </c>
      <c r="H46" s="102">
        <v>2500</v>
      </c>
      <c r="I46" s="164">
        <v>240</v>
      </c>
      <c r="J46" s="162">
        <f t="shared" si="0"/>
        <v>600000</v>
      </c>
      <c r="K46" s="165">
        <f t="shared" ref="K46:K53" si="2">+I46*H46/4</f>
        <v>150000</v>
      </c>
      <c r="L46" s="165">
        <f t="shared" si="1"/>
        <v>150000</v>
      </c>
      <c r="M46" s="165">
        <f t="shared" si="1"/>
        <v>150000</v>
      </c>
      <c r="N46" s="165">
        <f t="shared" si="1"/>
        <v>150000</v>
      </c>
      <c r="O46" s="232" t="s">
        <v>34</v>
      </c>
      <c r="P46" s="248">
        <v>98</v>
      </c>
      <c r="Q46" s="248">
        <v>2071</v>
      </c>
      <c r="R46" s="248">
        <v>3</v>
      </c>
      <c r="S46" s="248">
        <v>7</v>
      </c>
      <c r="T46" s="248">
        <v>1</v>
      </c>
      <c r="U46" s="248">
        <v>2</v>
      </c>
      <c r="Y46" s="64"/>
    </row>
    <row r="47" spans="2:25" s="7" customFormat="1" ht="15.75" thickBot="1" x14ac:dyDescent="0.3">
      <c r="B47" s="302"/>
      <c r="C47" s="302"/>
      <c r="D47" s="302"/>
      <c r="E47" s="299"/>
      <c r="F47" s="299"/>
      <c r="G47" s="110" t="s">
        <v>94</v>
      </c>
      <c r="H47" s="232">
        <f>80</f>
        <v>80</v>
      </c>
      <c r="I47" s="162">
        <v>40</v>
      </c>
      <c r="J47" s="162">
        <f t="shared" si="0"/>
        <v>3200</v>
      </c>
      <c r="K47" s="110">
        <f t="shared" si="2"/>
        <v>800</v>
      </c>
      <c r="L47" s="110">
        <v>800</v>
      </c>
      <c r="M47" s="110">
        <v>800</v>
      </c>
      <c r="N47" s="110">
        <v>800</v>
      </c>
      <c r="O47" s="232" t="s">
        <v>34</v>
      </c>
      <c r="P47" s="248">
        <v>98</v>
      </c>
      <c r="Q47" s="248">
        <v>2071</v>
      </c>
      <c r="R47" s="248">
        <v>2</v>
      </c>
      <c r="S47" s="248">
        <v>4</v>
      </c>
      <c r="T47" s="248">
        <v>4</v>
      </c>
      <c r="U47" s="248"/>
      <c r="Y47" s="65"/>
    </row>
    <row r="48" spans="2:25" s="7" customFormat="1" ht="15.75" thickBot="1" x14ac:dyDescent="0.3">
      <c r="B48" s="302" t="s">
        <v>79</v>
      </c>
      <c r="C48" s="302" t="s">
        <v>80</v>
      </c>
      <c r="D48" s="302">
        <v>6</v>
      </c>
      <c r="E48" s="293" t="s">
        <v>100</v>
      </c>
      <c r="F48" s="348"/>
      <c r="G48" s="111" t="s">
        <v>38</v>
      </c>
      <c r="H48" s="248">
        <v>160</v>
      </c>
      <c r="I48" s="166">
        <v>1625</v>
      </c>
      <c r="J48" s="162">
        <f t="shared" si="0"/>
        <v>260000</v>
      </c>
      <c r="K48" s="166">
        <f t="shared" si="2"/>
        <v>65000</v>
      </c>
      <c r="L48" s="166">
        <f t="shared" ref="L48:L52" si="3">K48</f>
        <v>65000</v>
      </c>
      <c r="M48" s="166">
        <f t="shared" ref="M48:M52" si="4">K48</f>
        <v>65000</v>
      </c>
      <c r="N48" s="166">
        <f t="shared" ref="N48:N52" si="5">K48</f>
        <v>65000</v>
      </c>
      <c r="O48" s="232" t="s">
        <v>34</v>
      </c>
      <c r="P48" s="248">
        <v>98</v>
      </c>
      <c r="Q48" s="248">
        <v>2071</v>
      </c>
      <c r="R48" s="248">
        <v>2</v>
      </c>
      <c r="S48" s="248">
        <v>3</v>
      </c>
      <c r="T48" s="248">
        <v>1</v>
      </c>
      <c r="U48" s="248"/>
      <c r="Y48" s="64"/>
    </row>
    <row r="49" spans="1:22" s="7" customFormat="1" ht="30.75" thickBot="1" x14ac:dyDescent="0.3">
      <c r="B49" s="302"/>
      <c r="C49" s="302"/>
      <c r="D49" s="302"/>
      <c r="E49" s="348"/>
      <c r="F49" s="348"/>
      <c r="G49" s="111" t="s">
        <v>95</v>
      </c>
      <c r="H49" s="105">
        <f>24*160</f>
        <v>3840</v>
      </c>
      <c r="I49" s="166">
        <v>240</v>
      </c>
      <c r="J49" s="162">
        <f t="shared" si="0"/>
        <v>921600</v>
      </c>
      <c r="K49" s="166">
        <f t="shared" si="2"/>
        <v>230400</v>
      </c>
      <c r="L49" s="166">
        <f t="shared" si="3"/>
        <v>230400</v>
      </c>
      <c r="M49" s="166">
        <f t="shared" si="4"/>
        <v>230400</v>
      </c>
      <c r="N49" s="166">
        <f t="shared" si="5"/>
        <v>230400</v>
      </c>
      <c r="O49" s="232" t="s">
        <v>34</v>
      </c>
      <c r="P49" s="248">
        <v>98</v>
      </c>
      <c r="Q49" s="248">
        <v>2071</v>
      </c>
      <c r="R49" s="248">
        <v>3</v>
      </c>
      <c r="S49" s="248">
        <v>7</v>
      </c>
      <c r="T49" s="248">
        <v>1</v>
      </c>
      <c r="U49" s="248">
        <v>2</v>
      </c>
      <c r="V49" s="215"/>
    </row>
    <row r="50" spans="1:22" s="7" customFormat="1" ht="35.1" customHeight="1" thickBot="1" x14ac:dyDescent="0.3">
      <c r="B50" s="302"/>
      <c r="C50" s="302"/>
      <c r="D50" s="302"/>
      <c r="E50" s="348"/>
      <c r="F50" s="348"/>
      <c r="G50" s="110" t="s">
        <v>96</v>
      </c>
      <c r="H50" s="248">
        <v>4500</v>
      </c>
      <c r="I50" s="166">
        <v>30</v>
      </c>
      <c r="J50" s="162">
        <f t="shared" si="0"/>
        <v>135000</v>
      </c>
      <c r="K50" s="166">
        <f t="shared" si="2"/>
        <v>33750</v>
      </c>
      <c r="L50" s="166">
        <f t="shared" si="3"/>
        <v>33750</v>
      </c>
      <c r="M50" s="166">
        <f t="shared" si="4"/>
        <v>33750</v>
      </c>
      <c r="N50" s="166">
        <f t="shared" si="5"/>
        <v>33750</v>
      </c>
      <c r="O50" s="232" t="s">
        <v>34</v>
      </c>
      <c r="P50" s="248">
        <v>98</v>
      </c>
      <c r="Q50" s="248">
        <v>2071</v>
      </c>
      <c r="R50" s="248">
        <v>2</v>
      </c>
      <c r="S50" s="248">
        <v>2</v>
      </c>
      <c r="T50" s="248">
        <v>2</v>
      </c>
      <c r="U50" s="248"/>
    </row>
    <row r="51" spans="1:22" s="7" customFormat="1" ht="35.1" customHeight="1" thickBot="1" x14ac:dyDescent="0.3">
      <c r="B51" s="302"/>
      <c r="C51" s="302"/>
      <c r="D51" s="302"/>
      <c r="E51" s="348"/>
      <c r="F51" s="348"/>
      <c r="G51" s="110" t="s">
        <v>98</v>
      </c>
      <c r="H51" s="248">
        <v>20</v>
      </c>
      <c r="I51" s="166">
        <v>100.42</v>
      </c>
      <c r="J51" s="162">
        <f t="shared" si="0"/>
        <v>2008.4</v>
      </c>
      <c r="K51" s="166">
        <f t="shared" si="2"/>
        <v>502.1</v>
      </c>
      <c r="L51" s="166">
        <f t="shared" si="3"/>
        <v>502.1</v>
      </c>
      <c r="M51" s="166">
        <f t="shared" si="4"/>
        <v>502.1</v>
      </c>
      <c r="N51" s="166">
        <f t="shared" si="5"/>
        <v>502.1</v>
      </c>
      <c r="O51" s="232" t="s">
        <v>34</v>
      </c>
      <c r="P51" s="248">
        <v>98</v>
      </c>
      <c r="Q51" s="248">
        <v>2071</v>
      </c>
      <c r="R51" s="248">
        <v>3</v>
      </c>
      <c r="S51" s="248">
        <v>9</v>
      </c>
      <c r="T51" s="248">
        <v>2</v>
      </c>
      <c r="U51" s="248"/>
    </row>
    <row r="52" spans="1:22" s="7" customFormat="1" ht="37.5" customHeight="1" thickBot="1" x14ac:dyDescent="0.3">
      <c r="B52" s="232" t="s">
        <v>79</v>
      </c>
      <c r="C52" s="232" t="s">
        <v>80</v>
      </c>
      <c r="D52" s="232">
        <v>6</v>
      </c>
      <c r="E52" s="299" t="s">
        <v>101</v>
      </c>
      <c r="F52" s="299"/>
      <c r="G52" s="110" t="s">
        <v>102</v>
      </c>
      <c r="H52" s="103">
        <v>20</v>
      </c>
      <c r="I52" s="167">
        <v>228</v>
      </c>
      <c r="J52" s="162">
        <f t="shared" si="0"/>
        <v>4560</v>
      </c>
      <c r="K52" s="167">
        <f t="shared" si="2"/>
        <v>1140</v>
      </c>
      <c r="L52" s="167">
        <f t="shared" si="3"/>
        <v>1140</v>
      </c>
      <c r="M52" s="167">
        <f t="shared" si="4"/>
        <v>1140</v>
      </c>
      <c r="N52" s="167">
        <f t="shared" si="5"/>
        <v>1140</v>
      </c>
      <c r="O52" s="232" t="s">
        <v>34</v>
      </c>
      <c r="P52" s="248">
        <v>98</v>
      </c>
      <c r="Q52" s="248">
        <v>2071</v>
      </c>
      <c r="R52" s="248">
        <v>3</v>
      </c>
      <c r="S52" s="248">
        <v>3</v>
      </c>
      <c r="T52" s="248">
        <v>1</v>
      </c>
      <c r="U52" s="248"/>
    </row>
    <row r="53" spans="1:22" s="7" customFormat="1" ht="15.75" thickBot="1" x14ac:dyDescent="0.3">
      <c r="A53" s="9"/>
      <c r="B53" s="302" t="s">
        <v>79</v>
      </c>
      <c r="C53" s="302" t="s">
        <v>80</v>
      </c>
      <c r="D53" s="302">
        <v>6</v>
      </c>
      <c r="E53" s="330" t="s">
        <v>89</v>
      </c>
      <c r="F53" s="324"/>
      <c r="G53" s="110" t="s">
        <v>103</v>
      </c>
      <c r="H53" s="232">
        <v>20</v>
      </c>
      <c r="I53" s="162">
        <v>1625</v>
      </c>
      <c r="J53" s="162">
        <f t="shared" si="0"/>
        <v>32500</v>
      </c>
      <c r="K53" s="110">
        <f t="shared" si="2"/>
        <v>8125</v>
      </c>
      <c r="L53" s="110">
        <v>8125</v>
      </c>
      <c r="M53" s="110">
        <v>8125</v>
      </c>
      <c r="N53" s="110">
        <v>8125</v>
      </c>
      <c r="O53" s="232" t="s">
        <v>34</v>
      </c>
      <c r="P53" s="248">
        <v>98</v>
      </c>
      <c r="Q53" s="248">
        <v>2071</v>
      </c>
      <c r="R53" s="248">
        <v>2</v>
      </c>
      <c r="S53" s="248">
        <v>3</v>
      </c>
      <c r="T53" s="248">
        <v>1</v>
      </c>
      <c r="U53" s="248"/>
    </row>
    <row r="54" spans="1:22" s="7" customFormat="1" ht="30.75" thickBot="1" x14ac:dyDescent="0.3">
      <c r="B54" s="302"/>
      <c r="C54" s="302"/>
      <c r="D54" s="302"/>
      <c r="E54" s="324"/>
      <c r="F54" s="324"/>
      <c r="G54" s="112" t="s">
        <v>91</v>
      </c>
      <c r="H54" s="233">
        <v>600</v>
      </c>
      <c r="I54" s="168">
        <v>240</v>
      </c>
      <c r="J54" s="162">
        <f t="shared" si="0"/>
        <v>144000</v>
      </c>
      <c r="K54" s="169">
        <f>144000/4</f>
        <v>36000</v>
      </c>
      <c r="L54" s="169">
        <v>36000</v>
      </c>
      <c r="M54" s="169">
        <v>36000</v>
      </c>
      <c r="N54" s="169">
        <v>36000</v>
      </c>
      <c r="O54" s="232" t="s">
        <v>34</v>
      </c>
      <c r="P54" s="248">
        <v>98</v>
      </c>
      <c r="Q54" s="248">
        <v>2071</v>
      </c>
      <c r="R54" s="248">
        <v>3</v>
      </c>
      <c r="S54" s="248">
        <v>7</v>
      </c>
      <c r="T54" s="248">
        <v>1</v>
      </c>
      <c r="U54" s="248">
        <v>2</v>
      </c>
    </row>
    <row r="55" spans="1:22" s="7" customFormat="1" ht="15.75" thickBot="1" x14ac:dyDescent="0.3">
      <c r="B55" s="302"/>
      <c r="C55" s="302"/>
      <c r="D55" s="302"/>
      <c r="E55" s="324"/>
      <c r="F55" s="324"/>
      <c r="G55" s="112" t="s">
        <v>94</v>
      </c>
      <c r="H55" s="104">
        <v>15</v>
      </c>
      <c r="I55" s="170">
        <v>40</v>
      </c>
      <c r="J55" s="162">
        <f t="shared" si="0"/>
        <v>600</v>
      </c>
      <c r="K55" s="112">
        <f>+I55*H55/4</f>
        <v>150</v>
      </c>
      <c r="L55" s="112">
        <v>150</v>
      </c>
      <c r="M55" s="112">
        <v>150</v>
      </c>
      <c r="N55" s="112">
        <v>150</v>
      </c>
      <c r="O55" s="232" t="s">
        <v>34</v>
      </c>
      <c r="P55" s="248">
        <v>98</v>
      </c>
      <c r="Q55" s="248">
        <v>2071</v>
      </c>
      <c r="R55" s="248">
        <v>2</v>
      </c>
      <c r="S55" s="248">
        <v>4</v>
      </c>
      <c r="T55" s="248">
        <v>4</v>
      </c>
      <c r="U55" s="248"/>
    </row>
    <row r="56" spans="1:22" s="7" customFormat="1" x14ac:dyDescent="0.25">
      <c r="J56" s="64"/>
    </row>
    <row r="57" spans="1:22" s="7" customFormat="1" x14ac:dyDescent="0.25"/>
    <row r="58" spans="1:22" s="7" customFormat="1" x14ac:dyDescent="0.25">
      <c r="B58" s="66"/>
      <c r="C58" s="66"/>
      <c r="D58" s="66"/>
      <c r="E58" s="66"/>
      <c r="F58" s="66"/>
      <c r="G58" s="66"/>
      <c r="H58" s="67"/>
      <c r="I58" s="67"/>
      <c r="J58" s="68"/>
      <c r="K58" s="67"/>
      <c r="L58" s="67"/>
      <c r="M58" s="67"/>
      <c r="N58" s="69"/>
      <c r="O58" s="69"/>
      <c r="P58" s="69"/>
      <c r="Q58" s="69"/>
      <c r="R58" s="69"/>
      <c r="S58" s="69"/>
      <c r="T58" s="69"/>
      <c r="U58" s="70"/>
    </row>
    <row r="59" spans="1:22" s="7" customFormat="1" x14ac:dyDescent="0.25">
      <c r="B59" s="66"/>
      <c r="C59" s="66"/>
      <c r="D59" s="66"/>
      <c r="E59" s="66"/>
      <c r="F59" s="66"/>
      <c r="G59" s="66"/>
      <c r="H59" s="67"/>
      <c r="I59" s="67"/>
      <c r="J59" s="68"/>
      <c r="K59" s="67"/>
      <c r="L59" s="67"/>
      <c r="M59" s="67"/>
      <c r="N59" s="69"/>
      <c r="O59" s="69"/>
      <c r="P59" s="69"/>
      <c r="Q59" s="69"/>
      <c r="R59" s="69"/>
      <c r="S59" s="69"/>
      <c r="T59" s="69"/>
      <c r="U59" s="70"/>
    </row>
    <row r="60" spans="1:22" s="7" customFormat="1" ht="18" thickBot="1" x14ac:dyDescent="0.35">
      <c r="B60" s="295" t="s">
        <v>77</v>
      </c>
      <c r="C60" s="295"/>
      <c r="D60" s="295"/>
      <c r="E60" s="295"/>
      <c r="F60" s="295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</row>
    <row r="61" spans="1:22" s="7" customFormat="1" ht="15.75" customHeight="1" thickTop="1" thickBot="1" x14ac:dyDescent="0.3">
      <c r="B61" s="296" t="s">
        <v>0</v>
      </c>
      <c r="C61" s="296"/>
      <c r="D61" s="296"/>
      <c r="E61" s="296" t="s">
        <v>1</v>
      </c>
      <c r="F61" s="296" t="s">
        <v>2</v>
      </c>
      <c r="G61" s="319" t="s">
        <v>3</v>
      </c>
      <c r="H61" s="319" t="s">
        <v>4</v>
      </c>
      <c r="I61" s="319" t="s">
        <v>5</v>
      </c>
      <c r="J61" s="319" t="s">
        <v>6</v>
      </c>
      <c r="K61" s="319" t="s">
        <v>7</v>
      </c>
      <c r="L61" s="319"/>
      <c r="M61" s="319"/>
      <c r="N61" s="319"/>
      <c r="O61" s="296" t="s">
        <v>8</v>
      </c>
      <c r="P61" s="296" t="s">
        <v>9</v>
      </c>
      <c r="Q61" s="296"/>
      <c r="R61" s="296"/>
      <c r="S61" s="296"/>
      <c r="T61" s="296"/>
      <c r="U61" s="296"/>
    </row>
    <row r="62" spans="1:22" s="7" customFormat="1" ht="57.75" customHeight="1" thickTop="1" thickBot="1" x14ac:dyDescent="0.3">
      <c r="B62" s="234" t="s">
        <v>10</v>
      </c>
      <c r="C62" s="234" t="s">
        <v>11</v>
      </c>
      <c r="D62" s="234" t="s">
        <v>12</v>
      </c>
      <c r="E62" s="296"/>
      <c r="F62" s="296"/>
      <c r="G62" s="319"/>
      <c r="H62" s="319"/>
      <c r="I62" s="319"/>
      <c r="J62" s="319"/>
      <c r="K62" s="12" t="s">
        <v>13</v>
      </c>
      <c r="L62" s="12" t="s">
        <v>14</v>
      </c>
      <c r="M62" s="12" t="s">
        <v>116</v>
      </c>
      <c r="N62" s="12" t="s">
        <v>15</v>
      </c>
      <c r="O62" s="296"/>
      <c r="P62" s="296"/>
      <c r="Q62" s="296"/>
      <c r="R62" s="296"/>
      <c r="S62" s="296"/>
      <c r="T62" s="296"/>
      <c r="U62" s="296"/>
    </row>
    <row r="63" spans="1:22" s="7" customFormat="1" ht="255.75" customHeight="1" thickTop="1" thickBot="1" x14ac:dyDescent="0.3">
      <c r="B63" s="116" t="s">
        <v>79</v>
      </c>
      <c r="C63" s="116" t="s">
        <v>105</v>
      </c>
      <c r="D63" s="71">
        <v>6</v>
      </c>
      <c r="E63" s="115" t="s">
        <v>104</v>
      </c>
      <c r="F63" s="72" t="s">
        <v>39</v>
      </c>
      <c r="G63" s="71" t="s">
        <v>40</v>
      </c>
      <c r="H63" s="71" t="s">
        <v>18</v>
      </c>
      <c r="I63" s="73">
        <v>408</v>
      </c>
      <c r="J63" s="71">
        <f>711+15</f>
        <v>726</v>
      </c>
      <c r="K63" s="71">
        <v>508</v>
      </c>
      <c r="L63" s="71">
        <v>508</v>
      </c>
      <c r="M63" s="71">
        <v>726</v>
      </c>
      <c r="N63" s="71">
        <v>711</v>
      </c>
      <c r="O63" s="114">
        <f>SUM(J68:J76)</f>
        <v>32154860</v>
      </c>
      <c r="P63" s="343" t="s">
        <v>232</v>
      </c>
      <c r="Q63" s="344"/>
      <c r="R63" s="344"/>
      <c r="S63" s="344"/>
      <c r="T63" s="344"/>
      <c r="U63" s="345"/>
    </row>
    <row r="64" spans="1:22" s="121" customFormat="1" x14ac:dyDescent="0.25">
      <c r="B64" s="117"/>
      <c r="C64" s="117"/>
      <c r="D64" s="117"/>
      <c r="E64" s="118"/>
      <c r="F64" s="119"/>
      <c r="G64" s="117"/>
      <c r="H64" s="117"/>
      <c r="I64" s="120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</row>
    <row r="65" spans="2:25" s="7" customFormat="1" ht="18" thickBot="1" x14ac:dyDescent="0.35">
      <c r="B65" s="295" t="s">
        <v>78</v>
      </c>
      <c r="C65" s="295"/>
      <c r="D65" s="295"/>
      <c r="E65" s="295"/>
      <c r="F65" s="295"/>
      <c r="G65" s="48"/>
      <c r="H65" s="48"/>
      <c r="I65" s="48"/>
      <c r="J65" s="48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</row>
    <row r="66" spans="2:25" s="7" customFormat="1" ht="18" customHeight="1" thickTop="1" thickBot="1" x14ac:dyDescent="0.3">
      <c r="B66" s="296" t="s">
        <v>0</v>
      </c>
      <c r="C66" s="296"/>
      <c r="D66" s="296"/>
      <c r="E66" s="296" t="s">
        <v>19</v>
      </c>
      <c r="F66" s="296"/>
      <c r="G66" s="319" t="s">
        <v>20</v>
      </c>
      <c r="H66" s="319"/>
      <c r="I66" s="319"/>
      <c r="J66" s="319"/>
      <c r="K66" s="319" t="s">
        <v>21</v>
      </c>
      <c r="L66" s="319"/>
      <c r="M66" s="319"/>
      <c r="N66" s="319"/>
      <c r="O66" s="296" t="s">
        <v>22</v>
      </c>
      <c r="P66" s="319" t="s">
        <v>23</v>
      </c>
      <c r="Q66" s="319"/>
      <c r="R66" s="319"/>
      <c r="S66" s="319"/>
      <c r="T66" s="319"/>
      <c r="U66" s="319"/>
    </row>
    <row r="67" spans="2:25" s="7" customFormat="1" ht="57" customHeight="1" thickTop="1" thickBot="1" x14ac:dyDescent="0.3">
      <c r="B67" s="237" t="s">
        <v>10</v>
      </c>
      <c r="C67" s="237" t="s">
        <v>11</v>
      </c>
      <c r="D67" s="237" t="s">
        <v>12</v>
      </c>
      <c r="E67" s="341"/>
      <c r="F67" s="341"/>
      <c r="G67" s="125" t="s">
        <v>41</v>
      </c>
      <c r="H67" s="125" t="s">
        <v>24</v>
      </c>
      <c r="I67" s="125" t="s">
        <v>25</v>
      </c>
      <c r="J67" s="125" t="s">
        <v>26</v>
      </c>
      <c r="K67" s="125" t="s">
        <v>13</v>
      </c>
      <c r="L67" s="125" t="s">
        <v>14</v>
      </c>
      <c r="M67" s="125" t="s">
        <v>116</v>
      </c>
      <c r="N67" s="125" t="s">
        <v>15</v>
      </c>
      <c r="O67" s="341"/>
      <c r="P67" s="126" t="s">
        <v>27</v>
      </c>
      <c r="Q67" s="126" t="s">
        <v>28</v>
      </c>
      <c r="R67" s="126" t="s">
        <v>29</v>
      </c>
      <c r="S67" s="126" t="s">
        <v>30</v>
      </c>
      <c r="T67" s="126" t="s">
        <v>31</v>
      </c>
      <c r="U67" s="126" t="s">
        <v>32</v>
      </c>
    </row>
    <row r="68" spans="2:25" s="7" customFormat="1" ht="66.75" customHeight="1" thickTop="1" thickBot="1" x14ac:dyDescent="0.3">
      <c r="B68" s="122" t="s">
        <v>79</v>
      </c>
      <c r="C68" s="122" t="s">
        <v>80</v>
      </c>
      <c r="D68" s="122">
        <v>6</v>
      </c>
      <c r="E68" s="298" t="s">
        <v>110</v>
      </c>
      <c r="F68" s="298"/>
      <c r="G68" s="245" t="s">
        <v>265</v>
      </c>
      <c r="H68" s="122">
        <v>508</v>
      </c>
      <c r="I68" s="128">
        <f>4000*6</f>
        <v>24000</v>
      </c>
      <c r="J68" s="220">
        <f>+H68*I68</f>
        <v>12192000</v>
      </c>
      <c r="K68" s="127">
        <f>+J68/2</f>
        <v>6096000</v>
      </c>
      <c r="L68" s="127">
        <f>+K68</f>
        <v>6096000</v>
      </c>
      <c r="M68" s="127">
        <v>0</v>
      </c>
      <c r="N68" s="127">
        <v>0</v>
      </c>
      <c r="O68" s="122" t="s">
        <v>42</v>
      </c>
      <c r="P68" s="248">
        <v>98</v>
      </c>
      <c r="Q68" s="248">
        <v>2071</v>
      </c>
      <c r="R68" s="248">
        <v>4</v>
      </c>
      <c r="S68" s="248">
        <v>1</v>
      </c>
      <c r="T68" s="248">
        <v>4</v>
      </c>
      <c r="U68" s="248">
        <v>1</v>
      </c>
    </row>
    <row r="69" spans="2:25" s="7" customFormat="1" ht="50.25" customHeight="1" thickBot="1" x14ac:dyDescent="0.3">
      <c r="B69" s="232" t="s">
        <v>79</v>
      </c>
      <c r="C69" s="232" t="s">
        <v>80</v>
      </c>
      <c r="D69" s="232">
        <v>6</v>
      </c>
      <c r="E69" s="299" t="s">
        <v>111</v>
      </c>
      <c r="F69" s="299"/>
      <c r="G69" s="77" t="s">
        <v>266</v>
      </c>
      <c r="H69" s="232">
        <v>711</v>
      </c>
      <c r="I69" s="96">
        <f>4000*6</f>
        <v>24000</v>
      </c>
      <c r="J69" s="159">
        <f>+H69*I69</f>
        <v>17064000</v>
      </c>
      <c r="K69" s="97">
        <v>0</v>
      </c>
      <c r="L69" s="97">
        <v>0</v>
      </c>
      <c r="M69" s="97">
        <f>+J69/2</f>
        <v>8532000</v>
      </c>
      <c r="N69" s="97">
        <f>+M69</f>
        <v>8532000</v>
      </c>
      <c r="O69" s="232" t="s">
        <v>42</v>
      </c>
      <c r="P69" s="248">
        <v>98</v>
      </c>
      <c r="Q69" s="248">
        <v>2071</v>
      </c>
      <c r="R69" s="248">
        <v>4</v>
      </c>
      <c r="S69" s="248">
        <v>1</v>
      </c>
      <c r="T69" s="248">
        <v>4</v>
      </c>
      <c r="U69" s="248">
        <v>1</v>
      </c>
      <c r="Y69" s="64"/>
    </row>
    <row r="70" spans="2:25" s="7" customFormat="1" ht="28.5" customHeight="1" thickBot="1" x14ac:dyDescent="0.3">
      <c r="B70" s="302" t="s">
        <v>79</v>
      </c>
      <c r="C70" s="302" t="s">
        <v>80</v>
      </c>
      <c r="D70" s="302">
        <v>6</v>
      </c>
      <c r="E70" s="299" t="s">
        <v>108</v>
      </c>
      <c r="F70" s="299"/>
      <c r="G70" s="130" t="s">
        <v>256</v>
      </c>
      <c r="H70" s="104">
        <v>711</v>
      </c>
      <c r="I70" s="107">
        <v>500</v>
      </c>
      <c r="J70" s="159">
        <f t="shared" ref="J70:J76" si="6">SUM(K70:N70)</f>
        <v>355500</v>
      </c>
      <c r="K70" s="52">
        <f>+I70*H70/4</f>
        <v>88875</v>
      </c>
      <c r="L70" s="52">
        <v>88875</v>
      </c>
      <c r="M70" s="52">
        <v>88875</v>
      </c>
      <c r="N70" s="52">
        <v>88875</v>
      </c>
      <c r="O70" s="104" t="s">
        <v>34</v>
      </c>
      <c r="P70" s="248">
        <v>98</v>
      </c>
      <c r="Q70" s="248">
        <v>2071</v>
      </c>
      <c r="R70" s="248">
        <v>3</v>
      </c>
      <c r="S70" s="248">
        <v>2</v>
      </c>
      <c r="T70" s="248">
        <v>2</v>
      </c>
      <c r="U70" s="248"/>
      <c r="Y70" s="64"/>
    </row>
    <row r="71" spans="2:25" s="7" customFormat="1" ht="48.75" customHeight="1" thickBot="1" x14ac:dyDescent="0.3">
      <c r="B71" s="302"/>
      <c r="C71" s="302"/>
      <c r="D71" s="302"/>
      <c r="E71" s="299"/>
      <c r="F71" s="299"/>
      <c r="G71" s="130" t="s">
        <v>267</v>
      </c>
      <c r="H71" s="104">
        <v>711</v>
      </c>
      <c r="I71" s="107">
        <v>2100</v>
      </c>
      <c r="J71" s="159">
        <f t="shared" si="6"/>
        <v>1493100</v>
      </c>
      <c r="K71" s="52">
        <f>+I71*H71/4</f>
        <v>373275</v>
      </c>
      <c r="L71" s="52">
        <f>+K71</f>
        <v>373275</v>
      </c>
      <c r="M71" s="52">
        <f>+L71</f>
        <v>373275</v>
      </c>
      <c r="N71" s="52">
        <f>+M71</f>
        <v>373275</v>
      </c>
      <c r="O71" s="104" t="s">
        <v>34</v>
      </c>
      <c r="P71" s="248">
        <v>98</v>
      </c>
      <c r="Q71" s="248">
        <v>2071</v>
      </c>
      <c r="R71" s="248">
        <v>3</v>
      </c>
      <c r="S71" s="248">
        <v>2</v>
      </c>
      <c r="T71" s="248">
        <v>3</v>
      </c>
      <c r="U71" s="248"/>
    </row>
    <row r="72" spans="2:25" s="7" customFormat="1" ht="78.75" customHeight="1" thickBot="1" x14ac:dyDescent="0.3">
      <c r="B72" s="301" t="s">
        <v>79</v>
      </c>
      <c r="C72" s="301" t="s">
        <v>80</v>
      </c>
      <c r="D72" s="300">
        <v>6</v>
      </c>
      <c r="E72" s="299" t="s">
        <v>109</v>
      </c>
      <c r="F72" s="299"/>
      <c r="G72" s="77" t="s">
        <v>268</v>
      </c>
      <c r="H72" s="232">
        <v>1</v>
      </c>
      <c r="I72" s="96">
        <v>300000</v>
      </c>
      <c r="J72" s="159">
        <f t="shared" si="6"/>
        <v>300000</v>
      </c>
      <c r="K72" s="97">
        <v>0</v>
      </c>
      <c r="L72" s="97">
        <f>+I72*H72</f>
        <v>300000</v>
      </c>
      <c r="M72" s="97">
        <v>0</v>
      </c>
      <c r="N72" s="97">
        <v>0</v>
      </c>
      <c r="O72" s="232" t="s">
        <v>42</v>
      </c>
      <c r="P72" s="248">
        <v>98</v>
      </c>
      <c r="Q72" s="248">
        <v>2071</v>
      </c>
      <c r="R72" s="248">
        <v>2</v>
      </c>
      <c r="S72" s="248">
        <v>8</v>
      </c>
      <c r="T72" s="248">
        <v>6</v>
      </c>
      <c r="U72" s="248">
        <v>1</v>
      </c>
    </row>
    <row r="73" spans="2:25" s="7" customFormat="1" ht="15.75" thickBot="1" x14ac:dyDescent="0.3">
      <c r="B73" s="301"/>
      <c r="C73" s="301"/>
      <c r="D73" s="300"/>
      <c r="E73" s="299"/>
      <c r="F73" s="299"/>
      <c r="G73" s="77" t="s">
        <v>257</v>
      </c>
      <c r="H73" s="232">
        <v>15</v>
      </c>
      <c r="I73" s="96">
        <f>334500/15</f>
        <v>22300</v>
      </c>
      <c r="J73" s="159">
        <f t="shared" si="6"/>
        <v>334500</v>
      </c>
      <c r="K73" s="97">
        <v>0</v>
      </c>
      <c r="L73" s="97">
        <f>+I73*H73</f>
        <v>334500</v>
      </c>
      <c r="M73" s="97">
        <v>0</v>
      </c>
      <c r="N73" s="97">
        <v>0</v>
      </c>
      <c r="O73" s="232" t="s">
        <v>42</v>
      </c>
      <c r="P73" s="248">
        <v>98</v>
      </c>
      <c r="Q73" s="248">
        <v>2071</v>
      </c>
      <c r="R73" s="248">
        <v>6</v>
      </c>
      <c r="S73" s="248">
        <v>1</v>
      </c>
      <c r="T73" s="248">
        <v>4</v>
      </c>
      <c r="U73" s="248"/>
    </row>
    <row r="74" spans="2:25" s="7" customFormat="1" ht="15.75" thickBot="1" x14ac:dyDescent="0.3">
      <c r="B74" s="301"/>
      <c r="C74" s="301"/>
      <c r="D74" s="300"/>
      <c r="E74" s="299"/>
      <c r="F74" s="299"/>
      <c r="G74" s="77" t="s">
        <v>106</v>
      </c>
      <c r="H74" s="232">
        <v>3</v>
      </c>
      <c r="I74" s="96">
        <v>36666.67</v>
      </c>
      <c r="J74" s="159">
        <v>110000</v>
      </c>
      <c r="K74" s="97"/>
      <c r="L74" s="97">
        <f>+I74*H74</f>
        <v>110000.01</v>
      </c>
      <c r="M74" s="97"/>
      <c r="N74" s="97"/>
      <c r="O74" s="232" t="s">
        <v>42</v>
      </c>
      <c r="P74" s="248">
        <v>98</v>
      </c>
      <c r="Q74" s="248">
        <v>2071</v>
      </c>
      <c r="R74" s="248">
        <v>3</v>
      </c>
      <c r="S74" s="248">
        <v>6</v>
      </c>
      <c r="T74" s="248">
        <v>3</v>
      </c>
      <c r="U74" s="248">
        <v>6</v>
      </c>
    </row>
    <row r="75" spans="2:25" s="7" customFormat="1" ht="15.75" thickBot="1" x14ac:dyDescent="0.3">
      <c r="B75" s="301"/>
      <c r="C75" s="301"/>
      <c r="D75" s="300"/>
      <c r="E75" s="299"/>
      <c r="F75" s="299"/>
      <c r="G75" s="93" t="s">
        <v>258</v>
      </c>
      <c r="H75" s="248">
        <v>24</v>
      </c>
      <c r="I75" s="96">
        <v>240</v>
      </c>
      <c r="J75" s="159">
        <f t="shared" si="6"/>
        <v>5760</v>
      </c>
      <c r="K75" s="97"/>
      <c r="L75" s="97">
        <f>+I75*H75</f>
        <v>5760</v>
      </c>
      <c r="M75" s="97"/>
      <c r="N75" s="97"/>
      <c r="O75" s="232" t="s">
        <v>42</v>
      </c>
      <c r="P75" s="248">
        <v>98</v>
      </c>
      <c r="Q75" s="248">
        <v>2071</v>
      </c>
      <c r="R75" s="248">
        <v>3</v>
      </c>
      <c r="S75" s="248">
        <v>7</v>
      </c>
      <c r="T75" s="248">
        <v>1</v>
      </c>
      <c r="U75" s="248">
        <v>2</v>
      </c>
    </row>
    <row r="76" spans="2:25" s="7" customFormat="1" ht="30.75" thickBot="1" x14ac:dyDescent="0.3">
      <c r="B76" s="301"/>
      <c r="C76" s="301"/>
      <c r="D76" s="300"/>
      <c r="E76" s="299"/>
      <c r="F76" s="299"/>
      <c r="G76" s="93" t="s">
        <v>249</v>
      </c>
      <c r="H76" s="123">
        <v>1</v>
      </c>
      <c r="I76" s="96">
        <v>300000</v>
      </c>
      <c r="J76" s="106">
        <f t="shared" si="6"/>
        <v>300000</v>
      </c>
      <c r="K76" s="97"/>
      <c r="L76" s="97">
        <f>+I76*H76</f>
        <v>300000</v>
      </c>
      <c r="M76" s="97"/>
      <c r="N76" s="97"/>
      <c r="O76" s="232" t="s">
        <v>42</v>
      </c>
      <c r="P76" s="248">
        <v>98</v>
      </c>
      <c r="Q76" s="248">
        <v>2071</v>
      </c>
      <c r="R76" s="104">
        <v>2</v>
      </c>
      <c r="S76" s="104">
        <v>8</v>
      </c>
      <c r="T76" s="104">
        <v>6</v>
      </c>
      <c r="U76" s="104">
        <v>4</v>
      </c>
    </row>
    <row r="77" spans="2:25" s="7" customFormat="1" x14ac:dyDescent="0.25">
      <c r="B77" s="66"/>
      <c r="C77" s="66"/>
      <c r="D77" s="66"/>
      <c r="E77" s="66"/>
      <c r="F77" s="66"/>
      <c r="G77" s="66"/>
      <c r="H77" s="67"/>
      <c r="I77" s="67"/>
      <c r="J77" s="68"/>
      <c r="K77" s="67"/>
      <c r="L77" s="67"/>
      <c r="M77" s="67"/>
      <c r="N77" s="69"/>
      <c r="O77" s="69"/>
      <c r="P77" s="69"/>
      <c r="Q77" s="69"/>
      <c r="R77" s="69"/>
      <c r="S77" s="69"/>
      <c r="T77" s="69"/>
      <c r="U77" s="70"/>
    </row>
    <row r="78" spans="2:25" s="7" customFormat="1" x14ac:dyDescent="0.25">
      <c r="B78" s="66"/>
      <c r="C78" s="66"/>
      <c r="D78" s="66"/>
      <c r="E78" s="66"/>
      <c r="F78" s="66"/>
      <c r="G78" s="66"/>
      <c r="H78" s="67"/>
      <c r="I78" s="67"/>
      <c r="J78" s="68"/>
      <c r="K78" s="67"/>
      <c r="L78" s="67"/>
      <c r="M78" s="67"/>
      <c r="N78" s="69"/>
      <c r="O78" s="69"/>
      <c r="P78" s="69"/>
      <c r="Q78" s="69"/>
      <c r="R78" s="69"/>
      <c r="S78" s="69"/>
      <c r="T78" s="69"/>
      <c r="U78" s="70"/>
    </row>
    <row r="79" spans="2:25" s="7" customFormat="1" x14ac:dyDescent="0.25"/>
    <row r="80" spans="2:25" s="7" customFormat="1" x14ac:dyDescent="0.25"/>
    <row r="81" spans="1:22" s="7" customFormat="1" ht="22.5" customHeight="1" thickBot="1" x14ac:dyDescent="0.35">
      <c r="B81" s="295" t="s">
        <v>77</v>
      </c>
      <c r="C81" s="295"/>
      <c r="D81" s="295"/>
      <c r="E81" s="295"/>
      <c r="F81" s="295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</row>
    <row r="82" spans="1:22" s="7" customFormat="1" ht="23.25" customHeight="1" thickTop="1" thickBot="1" x14ac:dyDescent="0.3">
      <c r="B82" s="339" t="s">
        <v>0</v>
      </c>
      <c r="C82" s="339"/>
      <c r="D82" s="339"/>
      <c r="E82" s="339" t="s">
        <v>1</v>
      </c>
      <c r="F82" s="339" t="s">
        <v>2</v>
      </c>
      <c r="G82" s="340" t="s">
        <v>3</v>
      </c>
      <c r="H82" s="340" t="s">
        <v>4</v>
      </c>
      <c r="I82" s="340" t="s">
        <v>5</v>
      </c>
      <c r="J82" s="340" t="s">
        <v>6</v>
      </c>
      <c r="K82" s="340" t="s">
        <v>7</v>
      </c>
      <c r="L82" s="340"/>
      <c r="M82" s="340"/>
      <c r="N82" s="340"/>
      <c r="O82" s="339" t="s">
        <v>8</v>
      </c>
      <c r="P82" s="339" t="s">
        <v>9</v>
      </c>
      <c r="Q82" s="339"/>
      <c r="R82" s="339"/>
      <c r="S82" s="339"/>
      <c r="T82" s="339"/>
      <c r="U82" s="339"/>
    </row>
    <row r="83" spans="1:22" s="7" customFormat="1" ht="34.5" customHeight="1" thickTop="1" thickBot="1" x14ac:dyDescent="0.3">
      <c r="B83" s="244" t="s">
        <v>10</v>
      </c>
      <c r="C83" s="244" t="s">
        <v>11</v>
      </c>
      <c r="D83" s="244" t="s">
        <v>12</v>
      </c>
      <c r="E83" s="339"/>
      <c r="F83" s="339"/>
      <c r="G83" s="340"/>
      <c r="H83" s="340"/>
      <c r="I83" s="340"/>
      <c r="J83" s="340"/>
      <c r="K83" s="74" t="s">
        <v>13</v>
      </c>
      <c r="L83" s="74" t="s">
        <v>14</v>
      </c>
      <c r="M83" s="74" t="s">
        <v>116</v>
      </c>
      <c r="N83" s="74" t="s">
        <v>15</v>
      </c>
      <c r="O83" s="339"/>
      <c r="P83" s="339"/>
      <c r="Q83" s="339"/>
      <c r="R83" s="339"/>
      <c r="S83" s="339"/>
      <c r="T83" s="339"/>
      <c r="U83" s="339"/>
    </row>
    <row r="84" spans="1:22" s="7" customFormat="1" ht="166.5" customHeight="1" thickTop="1" thickBot="1" x14ac:dyDescent="0.3">
      <c r="B84" s="235" t="s">
        <v>79</v>
      </c>
      <c r="C84" s="235" t="s">
        <v>80</v>
      </c>
      <c r="D84" s="235">
        <v>6</v>
      </c>
      <c r="E84" s="41" t="s">
        <v>112</v>
      </c>
      <c r="F84" s="239" t="s">
        <v>43</v>
      </c>
      <c r="G84" s="235" t="s">
        <v>44</v>
      </c>
      <c r="H84" s="235" t="s">
        <v>18</v>
      </c>
      <c r="I84" s="60">
        <v>505</v>
      </c>
      <c r="J84" s="235">
        <f>SUM(K84:N84)</f>
        <v>400</v>
      </c>
      <c r="K84" s="247">
        <v>0</v>
      </c>
      <c r="L84" s="247">
        <v>160</v>
      </c>
      <c r="M84" s="247">
        <v>120</v>
      </c>
      <c r="N84" s="45">
        <v>120</v>
      </c>
      <c r="O84" s="46">
        <f>SUM(J89:J90)</f>
        <v>14004560</v>
      </c>
      <c r="P84" s="316" t="s">
        <v>45</v>
      </c>
      <c r="Q84" s="317"/>
      <c r="R84" s="317"/>
      <c r="S84" s="317"/>
      <c r="T84" s="317"/>
      <c r="U84" s="318"/>
    </row>
    <row r="85" spans="1:22" s="7" customFormat="1" x14ac:dyDescent="0.25"/>
    <row r="86" spans="1:22" s="7" customFormat="1" ht="18" thickBot="1" x14ac:dyDescent="0.35">
      <c r="B86" s="295" t="s">
        <v>78</v>
      </c>
      <c r="C86" s="295"/>
      <c r="D86" s="295"/>
      <c r="E86" s="295"/>
      <c r="F86" s="295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</row>
    <row r="87" spans="1:22" s="7" customFormat="1" ht="15.75" customHeight="1" thickTop="1" thickBot="1" x14ac:dyDescent="0.3">
      <c r="B87" s="296" t="s">
        <v>0</v>
      </c>
      <c r="C87" s="296"/>
      <c r="D87" s="296"/>
      <c r="E87" s="296" t="s">
        <v>19</v>
      </c>
      <c r="F87" s="296"/>
      <c r="G87" s="319" t="s">
        <v>20</v>
      </c>
      <c r="H87" s="319"/>
      <c r="I87" s="319"/>
      <c r="J87" s="319"/>
      <c r="K87" s="319" t="s">
        <v>21</v>
      </c>
      <c r="L87" s="319"/>
      <c r="M87" s="319"/>
      <c r="N87" s="319"/>
      <c r="O87" s="296" t="s">
        <v>22</v>
      </c>
      <c r="P87" s="319" t="s">
        <v>23</v>
      </c>
      <c r="Q87" s="319"/>
      <c r="R87" s="319"/>
      <c r="S87" s="319"/>
      <c r="T87" s="319"/>
      <c r="U87" s="319"/>
    </row>
    <row r="88" spans="1:22" s="7" customFormat="1" ht="61.5" customHeight="1" thickTop="1" thickBot="1" x14ac:dyDescent="0.3">
      <c r="B88" s="234" t="s">
        <v>10</v>
      </c>
      <c r="C88" s="234" t="s">
        <v>11</v>
      </c>
      <c r="D88" s="234" t="s">
        <v>12</v>
      </c>
      <c r="E88" s="296"/>
      <c r="F88" s="296"/>
      <c r="G88" s="12" t="s">
        <v>36</v>
      </c>
      <c r="H88" s="12" t="s">
        <v>24</v>
      </c>
      <c r="I88" s="12" t="s">
        <v>25</v>
      </c>
      <c r="J88" s="12" t="s">
        <v>26</v>
      </c>
      <c r="K88" s="12" t="s">
        <v>13</v>
      </c>
      <c r="L88" s="12" t="s">
        <v>14</v>
      </c>
      <c r="M88" s="12" t="s">
        <v>116</v>
      </c>
      <c r="N88" s="12" t="s">
        <v>15</v>
      </c>
      <c r="O88" s="296"/>
      <c r="P88" s="13" t="s">
        <v>27</v>
      </c>
      <c r="Q88" s="13" t="s">
        <v>28</v>
      </c>
      <c r="R88" s="13" t="s">
        <v>29</v>
      </c>
      <c r="S88" s="13" t="s">
        <v>30</v>
      </c>
      <c r="T88" s="13" t="s">
        <v>31</v>
      </c>
      <c r="U88" s="13" t="s">
        <v>32</v>
      </c>
    </row>
    <row r="89" spans="1:22" s="7" customFormat="1" ht="36.75" customHeight="1" thickTop="1" thickBot="1" x14ac:dyDescent="0.3">
      <c r="B89" s="336" t="s">
        <v>79</v>
      </c>
      <c r="C89" s="336" t="s">
        <v>80</v>
      </c>
      <c r="D89" s="336">
        <v>6</v>
      </c>
      <c r="E89" s="335" t="s">
        <v>46</v>
      </c>
      <c r="F89" s="335"/>
      <c r="G89" s="201" t="s">
        <v>248</v>
      </c>
      <c r="H89" s="242">
        <v>20</v>
      </c>
      <c r="I89" s="135">
        <v>228</v>
      </c>
      <c r="J89" s="133">
        <f>+H89*I89</f>
        <v>4560</v>
      </c>
      <c r="K89" s="133">
        <v>0</v>
      </c>
      <c r="L89" s="133">
        <f>+J89/3</f>
        <v>1520</v>
      </c>
      <c r="M89" s="133">
        <f>+J89/3</f>
        <v>1520</v>
      </c>
      <c r="N89" s="133">
        <f>+J89/3</f>
        <v>1520</v>
      </c>
      <c r="O89" s="242" t="s">
        <v>34</v>
      </c>
      <c r="P89" s="242">
        <v>98</v>
      </c>
      <c r="Q89" s="183">
        <v>2071</v>
      </c>
      <c r="R89" s="181">
        <v>3</v>
      </c>
      <c r="S89" s="181">
        <v>3</v>
      </c>
      <c r="T89" s="181">
        <v>1</v>
      </c>
      <c r="U89" s="242"/>
    </row>
    <row r="90" spans="1:22" s="7" customFormat="1" ht="29.25" customHeight="1" thickTop="1" thickBot="1" x14ac:dyDescent="0.3">
      <c r="B90" s="337"/>
      <c r="C90" s="337"/>
      <c r="D90" s="337"/>
      <c r="E90" s="327"/>
      <c r="F90" s="327"/>
      <c r="G90" s="202" t="s">
        <v>251</v>
      </c>
      <c r="H90" s="243">
        <v>400</v>
      </c>
      <c r="I90" s="136">
        <v>35000</v>
      </c>
      <c r="J90" s="133">
        <f>+H90*I90</f>
        <v>14000000</v>
      </c>
      <c r="K90" s="134">
        <f>+I90*H90/4</f>
        <v>3500000</v>
      </c>
      <c r="L90" s="134">
        <f>+K90</f>
        <v>3500000</v>
      </c>
      <c r="M90" s="134">
        <f>+L90</f>
        <v>3500000</v>
      </c>
      <c r="N90" s="134">
        <f>+M90</f>
        <v>3500000</v>
      </c>
      <c r="O90" s="243" t="s">
        <v>34</v>
      </c>
      <c r="P90" s="243">
        <v>98</v>
      </c>
      <c r="Q90" s="184">
        <v>2071</v>
      </c>
      <c r="R90" s="123">
        <v>4</v>
      </c>
      <c r="S90" s="123">
        <v>1</v>
      </c>
      <c r="T90" s="123">
        <v>4</v>
      </c>
      <c r="U90" s="123">
        <v>1</v>
      </c>
    </row>
    <row r="91" spans="1:22" s="7" customFormat="1" x14ac:dyDescent="0.25"/>
    <row r="92" spans="1:22" s="7" customFormat="1" x14ac:dyDescent="0.25"/>
    <row r="93" spans="1:22" s="7" customFormat="1" ht="18" thickBot="1" x14ac:dyDescent="0.35">
      <c r="B93" s="338" t="s">
        <v>77</v>
      </c>
      <c r="C93" s="338"/>
      <c r="D93" s="338"/>
      <c r="E93" s="338"/>
      <c r="F93" s="338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</row>
    <row r="94" spans="1:22" s="7" customFormat="1" ht="15.75" customHeight="1" thickTop="1" thickBot="1" x14ac:dyDescent="0.3">
      <c r="B94" s="297" t="s">
        <v>0</v>
      </c>
      <c r="C94" s="297"/>
      <c r="D94" s="297"/>
      <c r="E94" s="297" t="s">
        <v>1</v>
      </c>
      <c r="F94" s="297" t="s">
        <v>2</v>
      </c>
      <c r="G94" s="331" t="s">
        <v>3</v>
      </c>
      <c r="H94" s="331" t="s">
        <v>4</v>
      </c>
      <c r="I94" s="331" t="s">
        <v>5</v>
      </c>
      <c r="J94" s="331" t="s">
        <v>6</v>
      </c>
      <c r="K94" s="331" t="s">
        <v>7</v>
      </c>
      <c r="L94" s="331"/>
      <c r="M94" s="331"/>
      <c r="N94" s="331"/>
      <c r="O94" s="297" t="s">
        <v>8</v>
      </c>
      <c r="P94" s="297" t="s">
        <v>9</v>
      </c>
      <c r="Q94" s="297"/>
      <c r="R94" s="297"/>
      <c r="S94" s="297"/>
      <c r="T94" s="297"/>
      <c r="U94" s="297"/>
    </row>
    <row r="95" spans="1:22" s="7" customFormat="1" ht="45" customHeight="1" thickTop="1" thickBot="1" x14ac:dyDescent="0.3">
      <c r="B95" s="231" t="s">
        <v>10</v>
      </c>
      <c r="C95" s="231" t="s">
        <v>11</v>
      </c>
      <c r="D95" s="231" t="s">
        <v>12</v>
      </c>
      <c r="E95" s="297"/>
      <c r="F95" s="297"/>
      <c r="G95" s="331"/>
      <c r="H95" s="331"/>
      <c r="I95" s="331"/>
      <c r="J95" s="331"/>
      <c r="K95" s="241" t="s">
        <v>13</v>
      </c>
      <c r="L95" s="241" t="s">
        <v>14</v>
      </c>
      <c r="M95" s="241" t="s">
        <v>116</v>
      </c>
      <c r="N95" s="241" t="s">
        <v>15</v>
      </c>
      <c r="O95" s="297"/>
      <c r="P95" s="297"/>
      <c r="Q95" s="297"/>
      <c r="R95" s="297"/>
      <c r="S95" s="297"/>
      <c r="T95" s="297"/>
      <c r="U95" s="297"/>
    </row>
    <row r="96" spans="1:22" s="7" customFormat="1" ht="146.25" customHeight="1" thickTop="1" thickBot="1" x14ac:dyDescent="0.3">
      <c r="A96" s="15"/>
      <c r="B96" s="247" t="s">
        <v>79</v>
      </c>
      <c r="C96" s="247" t="s">
        <v>80</v>
      </c>
      <c r="D96" s="247">
        <v>6</v>
      </c>
      <c r="E96" s="188" t="s">
        <v>113</v>
      </c>
      <c r="F96" s="157" t="s">
        <v>47</v>
      </c>
      <c r="G96" s="247" t="s">
        <v>48</v>
      </c>
      <c r="H96" s="247" t="s">
        <v>18</v>
      </c>
      <c r="I96" s="180">
        <v>121</v>
      </c>
      <c r="J96" s="247">
        <f>SUM(K96:N96)</f>
        <v>445</v>
      </c>
      <c r="K96" s="247">
        <v>0</v>
      </c>
      <c r="L96" s="247">
        <v>0</v>
      </c>
      <c r="M96" s="247">
        <v>189</v>
      </c>
      <c r="N96" s="247">
        <v>256</v>
      </c>
      <c r="O96" s="247" t="s">
        <v>240</v>
      </c>
      <c r="P96" s="332" t="s">
        <v>49</v>
      </c>
      <c r="Q96" s="333"/>
      <c r="R96" s="333"/>
      <c r="S96" s="333"/>
      <c r="T96" s="333"/>
      <c r="U96" s="334"/>
      <c r="V96" s="15"/>
    </row>
    <row r="97" spans="1:26" s="7" customFormat="1" x14ac:dyDescent="0.25">
      <c r="A97" s="15"/>
    </row>
    <row r="98" spans="1:26" s="7" customFormat="1" ht="18" thickBot="1" x14ac:dyDescent="0.35">
      <c r="A98" s="15"/>
      <c r="B98" s="295" t="s">
        <v>78</v>
      </c>
      <c r="C98" s="295"/>
      <c r="D98" s="295"/>
      <c r="E98" s="295"/>
      <c r="F98" s="295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</row>
    <row r="99" spans="1:26" s="7" customFormat="1" ht="16.5" thickTop="1" thickBot="1" x14ac:dyDescent="0.3">
      <c r="A99" s="15"/>
      <c r="B99" s="296" t="s">
        <v>0</v>
      </c>
      <c r="C99" s="296"/>
      <c r="D99" s="296"/>
      <c r="E99" s="296" t="s">
        <v>19</v>
      </c>
      <c r="F99" s="296"/>
      <c r="G99" s="319" t="s">
        <v>20</v>
      </c>
      <c r="H99" s="319"/>
      <c r="I99" s="319"/>
      <c r="J99" s="319"/>
      <c r="K99" s="319" t="s">
        <v>21</v>
      </c>
      <c r="L99" s="319"/>
      <c r="M99" s="319"/>
      <c r="N99" s="319"/>
      <c r="O99" s="296" t="s">
        <v>22</v>
      </c>
      <c r="P99" s="319" t="s">
        <v>23</v>
      </c>
      <c r="Q99" s="319"/>
      <c r="R99" s="319"/>
      <c r="S99" s="319"/>
      <c r="T99" s="319"/>
      <c r="U99" s="319"/>
    </row>
    <row r="100" spans="1:26" s="7" customFormat="1" ht="42.75" thickTop="1" thickBot="1" x14ac:dyDescent="0.3">
      <c r="A100" s="15"/>
      <c r="B100" s="234" t="s">
        <v>10</v>
      </c>
      <c r="C100" s="234" t="s">
        <v>11</v>
      </c>
      <c r="D100" s="234" t="s">
        <v>12</v>
      </c>
      <c r="E100" s="296"/>
      <c r="F100" s="296"/>
      <c r="G100" s="12" t="s">
        <v>36</v>
      </c>
      <c r="H100" s="12" t="s">
        <v>24</v>
      </c>
      <c r="I100" s="12" t="s">
        <v>25</v>
      </c>
      <c r="J100" s="12" t="s">
        <v>26</v>
      </c>
      <c r="K100" s="12" t="s">
        <v>13</v>
      </c>
      <c r="L100" s="12" t="s">
        <v>14</v>
      </c>
      <c r="M100" s="12" t="s">
        <v>116</v>
      </c>
      <c r="N100" s="12" t="s">
        <v>15</v>
      </c>
      <c r="O100" s="296"/>
      <c r="P100" s="13" t="s">
        <v>27</v>
      </c>
      <c r="Q100" s="13" t="s">
        <v>28</v>
      </c>
      <c r="R100" s="13" t="s">
        <v>29</v>
      </c>
      <c r="S100" s="13" t="s">
        <v>30</v>
      </c>
      <c r="T100" s="13" t="s">
        <v>31</v>
      </c>
      <c r="U100" s="13" t="s">
        <v>32</v>
      </c>
    </row>
    <row r="101" spans="1:26" s="7" customFormat="1" ht="62.25" customHeight="1" thickTop="1" thickBot="1" x14ac:dyDescent="0.3">
      <c r="B101" s="235" t="s">
        <v>79</v>
      </c>
      <c r="C101" s="235" t="s">
        <v>80</v>
      </c>
      <c r="D101" s="235">
        <v>6</v>
      </c>
      <c r="E101" s="291" t="s">
        <v>247</v>
      </c>
      <c r="F101" s="291"/>
      <c r="G101" s="202" t="s">
        <v>250</v>
      </c>
      <c r="H101" s="235">
        <v>445</v>
      </c>
      <c r="I101" s="46">
        <v>35000</v>
      </c>
      <c r="J101" s="50">
        <f>+H101*I101</f>
        <v>15575000</v>
      </c>
      <c r="K101" s="50">
        <v>0</v>
      </c>
      <c r="L101" s="50">
        <v>0</v>
      </c>
      <c r="M101" s="50">
        <f>+M96*I101</f>
        <v>6615000</v>
      </c>
      <c r="N101" s="50">
        <f>+N96*I101</f>
        <v>8960000</v>
      </c>
      <c r="O101" s="235" t="s">
        <v>241</v>
      </c>
      <c r="P101" s="235">
        <v>0</v>
      </c>
      <c r="Q101" s="60">
        <v>0</v>
      </c>
      <c r="R101" s="235">
        <v>4</v>
      </c>
      <c r="S101" s="235">
        <v>1</v>
      </c>
      <c r="T101" s="235">
        <v>4</v>
      </c>
      <c r="U101" s="235">
        <v>1</v>
      </c>
      <c r="V101" s="121"/>
      <c r="W101" s="121"/>
      <c r="X101" s="121"/>
      <c r="Y101" s="121"/>
    </row>
    <row r="102" spans="1:26" s="15" customFormat="1" ht="19.5" customHeight="1" x14ac:dyDescent="0.25">
      <c r="A102" s="7"/>
      <c r="B102" s="121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37"/>
      <c r="O102" s="138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75"/>
    </row>
    <row r="103" spans="1:26" s="15" customFormat="1" ht="19.5" customHeight="1" x14ac:dyDescent="0.25">
      <c r="A103" s="7"/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37"/>
      <c r="O103" s="138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75"/>
    </row>
    <row r="104" spans="1:26" s="7" customFormat="1" ht="15.75" x14ac:dyDescent="0.25">
      <c r="A104"/>
      <c r="B104"/>
      <c r="C104"/>
      <c r="D104"/>
      <c r="E104"/>
      <c r="F104" s="11"/>
      <c r="G104" s="27"/>
      <c r="H104"/>
      <c r="I104"/>
      <c r="J104" s="11"/>
      <c r="K104" s="370" t="s">
        <v>276</v>
      </c>
      <c r="L104" s="370"/>
      <c r="M104" s="249">
        <f>253059934+322000+2987419.9+32154860+14004560</f>
        <v>302528773.89999998</v>
      </c>
      <c r="N104"/>
      <c r="O104"/>
      <c r="P104"/>
      <c r="Q104"/>
      <c r="R104"/>
      <c r="S104"/>
      <c r="T104"/>
      <c r="U104"/>
      <c r="V104" s="121"/>
      <c r="W104" s="121"/>
      <c r="X104" s="121"/>
      <c r="Y104" s="137"/>
    </row>
    <row r="105" spans="1:26" s="7" customFormat="1" ht="15.75" customHeight="1" x14ac:dyDescent="0.25">
      <c r="A105"/>
      <c r="B105"/>
      <c r="C105"/>
      <c r="D105"/>
      <c r="E105"/>
      <c r="F105"/>
      <c r="G105" s="11"/>
      <c r="H105" s="11"/>
      <c r="I105"/>
      <c r="J105" s="229"/>
      <c r="K105" s="11"/>
      <c r="L105" s="11"/>
      <c r="M105" s="11"/>
      <c r="N105"/>
      <c r="O105" s="11"/>
      <c r="P105"/>
      <c r="Q105"/>
      <c r="R105"/>
      <c r="S105"/>
      <c r="T105"/>
      <c r="U105"/>
    </row>
    <row r="106" spans="1:26" s="7" customFormat="1" ht="25.5" customHeight="1" x14ac:dyDescent="0.25">
      <c r="A106"/>
      <c r="B106"/>
      <c r="C106"/>
      <c r="D106"/>
      <c r="E106"/>
      <c r="F106"/>
      <c r="G106" s="16"/>
      <c r="H106"/>
      <c r="I106"/>
      <c r="J106" s="11"/>
      <c r="K106"/>
      <c r="L106" s="11"/>
      <c r="M106" s="11"/>
      <c r="N106"/>
      <c r="O106"/>
      <c r="P106"/>
      <c r="Q106"/>
      <c r="R106"/>
      <c r="S106"/>
      <c r="T106"/>
      <c r="U106"/>
    </row>
    <row r="107" spans="1:26" s="7" customFormat="1" ht="241.5" customHeight="1" x14ac:dyDescent="0.25">
      <c r="A107"/>
      <c r="B107"/>
      <c r="C107"/>
      <c r="D107"/>
      <c r="E107" s="23"/>
      <c r="F107" s="23"/>
      <c r="G107" s="28"/>
      <c r="H107" s="29"/>
      <c r="I107"/>
      <c r="J107" s="11"/>
      <c r="K107"/>
      <c r="L107"/>
      <c r="M107"/>
      <c r="N107"/>
      <c r="O107"/>
      <c r="P107"/>
      <c r="Q107"/>
      <c r="R107"/>
      <c r="S107"/>
      <c r="T107"/>
      <c r="U107"/>
    </row>
    <row r="108" spans="1:26" s="7" customFormat="1" x14ac:dyDescent="0.25">
      <c r="A108"/>
      <c r="B108"/>
      <c r="C108"/>
      <c r="D108"/>
      <c r="E108"/>
      <c r="F108"/>
      <c r="G108" s="11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6" s="7" customFormat="1" x14ac:dyDescent="0.25">
      <c r="A109"/>
      <c r="B109"/>
      <c r="C109"/>
      <c r="D109"/>
      <c r="E109"/>
      <c r="F109"/>
      <c r="G109" s="30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6" s="7" customFormat="1" ht="15.75" customHeight="1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6" s="7" customFormat="1" ht="57" customHeight="1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6" s="7" customFormat="1" ht="45" customHeight="1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 s="64"/>
    </row>
    <row r="113" spans="1:21" s="7" customFormat="1" ht="45" customHeight="1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s="7" customFormat="1" ht="45" customHeight="1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s="121" customFormat="1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s="121" customFormat="1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s="121" customFormat="1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s="7" customFormat="1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s="7" customFormat="1" ht="15.75" customHeight="1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s="7" customFormat="1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s="7" customFormat="1" ht="213.75" customHeight="1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s="7" customFormat="1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s="7" customFormat="1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s="7" customFormat="1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s="7" customFormat="1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s="7" customFormat="1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s="7" customFormat="1" ht="16.5" customHeight="1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s="7" customFormat="1" ht="41.25" customHeight="1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s="7" customFormat="1" ht="56.25" customHeight="1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s="7" customFormat="1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s="7" customFormat="1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s="7" customFormat="1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s="7" customFormat="1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s="7" customFormat="1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s="7" customFormat="1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s="7" customFormat="1" ht="16.5" customHeight="1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s="7" customFormat="1" ht="36" customHeight="1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s="7" customFormat="1" ht="191.25" customHeight="1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s="7" customFormat="1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s="7" customFormat="1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s="7" customFormat="1" ht="27.75" customHeight="1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s="7" customFormat="1" ht="60" customHeight="1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s="7" customFormat="1" ht="134.25" customHeight="1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s="7" customFormat="1" ht="84" customHeight="1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s="7" customFormat="1" ht="105.75" customHeight="1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s="7" customFormat="1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s="7" customFormat="1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s="7" customFormat="1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s="7" customFormat="1" ht="20.25" customHeight="1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s="7" customFormat="1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s="7" customFormat="1" ht="304.5" customHeight="1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s="7" customFormat="1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s="7" customFormat="1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s="7" customFormat="1" ht="20.25" customHeight="1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s="7" customFormat="1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s="7" customFormat="1" ht="35.1" customHeight="1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s="7" customFormat="1" ht="35.1" customHeight="1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s="7" customFormat="1" ht="35.1" customHeight="1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s="7" customFormat="1" ht="35.1" customHeight="1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s="7" customFormat="1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s="7" customFormat="1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s="7" customFormat="1" ht="16.5" customHeight="1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s="7" customFormat="1" ht="36.75" customHeight="1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s="7" customFormat="1" ht="297" customHeight="1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s="7" customFormat="1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s="7" customFormat="1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s="7" customFormat="1" ht="16.5" customHeight="1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s="7" customFormat="1" ht="57" customHeight="1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s="7" customFormat="1" ht="61.5" customHeight="1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s="7" customFormat="1" ht="63" customHeight="1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s="7" customFormat="1" ht="48" customHeight="1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s="7" customFormat="1" ht="33" customHeight="1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s="7" customFormat="1" ht="30.75" customHeight="1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s="7" customFormat="1" ht="57" customHeight="1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s="7" customFormat="1" ht="42.75" customHeight="1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s="7" customFormat="1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s="7" customFormat="1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s="7" customFormat="1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s="7" customFormat="1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s="7" customFormat="1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s="7" customFormat="1" ht="16.5" customHeight="1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s="7" customFormat="1" ht="42" customHeight="1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s="7" customFormat="1" ht="288.75" customHeight="1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s="7" customFormat="1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s="7" customFormat="1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s="7" customFormat="1" ht="17.25" customHeight="1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s="7" customFormat="1" ht="60" customHeight="1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s="7" customFormat="1" ht="35.1" customHeight="1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s="7" customFormat="1" ht="35.1" customHeight="1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s="7" customFormat="1" ht="35.1" customHeight="1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  <row r="191" spans="1:21" s="7" customFormat="1" ht="35.1" customHeight="1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</row>
    <row r="192" spans="1:21" s="7" customFormat="1" ht="45" customHeight="1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</row>
    <row r="193" spans="1:21" s="7" customFormat="1" ht="45" customHeight="1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</row>
    <row r="194" spans="1:21" s="7" customFormat="1" ht="45" customHeight="1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</row>
    <row r="195" spans="1:21" s="7" customFormat="1" ht="45" customHeight="1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</row>
    <row r="196" spans="1:21" s="7" customFormat="1" ht="45" customHeight="1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</row>
    <row r="197" spans="1:21" s="7" customFormat="1" ht="45" customHeight="1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</row>
    <row r="198" spans="1:21" s="7" customFormat="1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</row>
    <row r="199" spans="1:21" s="7" customFormat="1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</row>
    <row r="200" spans="1:21" s="7" customFormat="1" ht="10.5" customHeight="1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</row>
    <row r="201" spans="1:21" s="7" customFormat="1" ht="16.5" customHeight="1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</row>
    <row r="202" spans="1:21" s="7" customFormat="1" ht="25.5" customHeight="1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</row>
    <row r="203" spans="1:21" s="7" customFormat="1" ht="23.25" customHeight="1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</row>
    <row r="204" spans="1:21" s="7" customFormat="1" ht="191.25" customHeight="1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</row>
    <row r="205" spans="1:21" s="7" customFormat="1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</row>
    <row r="206" spans="1:21" s="7" customFormat="1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</row>
    <row r="207" spans="1:21" s="7" customFormat="1" ht="26.25" customHeight="1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</row>
    <row r="208" spans="1:21" s="7" customFormat="1" ht="56.25" customHeight="1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</row>
    <row r="209" spans="1:21" s="7" customFormat="1" ht="16.5" customHeight="1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</row>
    <row r="210" spans="1:21" s="7" customFormat="1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</row>
    <row r="211" spans="1:21" s="7" customFormat="1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</row>
    <row r="212" spans="1:21" s="7" customFormat="1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</row>
    <row r="213" spans="1:21" s="7" customFormat="1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</row>
    <row r="214" spans="1:21" s="7" customFormat="1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</row>
    <row r="215" spans="1:21" s="7" customFormat="1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</row>
    <row r="216" spans="1:21" s="7" customFormat="1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</row>
    <row r="217" spans="1:21" s="7" customFormat="1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</row>
    <row r="218" spans="1:21" s="7" customFormat="1" ht="43.5" customHeight="1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</row>
    <row r="219" spans="1:21" s="7" customFormat="1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</row>
    <row r="220" spans="1:21" s="7" customFormat="1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</row>
    <row r="221" spans="1:21" s="7" customFormat="1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</row>
    <row r="222" spans="1:21" s="7" customFormat="1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</row>
    <row r="223" spans="1:21" s="7" customFormat="1" ht="35.1" customHeight="1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</row>
    <row r="224" spans="1:21" s="7" customFormat="1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</row>
    <row r="225" spans="1:39" s="7" customFormat="1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</row>
    <row r="226" spans="1:39" s="7" customFormat="1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</row>
    <row r="227" spans="1:39" s="7" customFormat="1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</row>
    <row r="228" spans="1:39" s="7" customFormat="1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</row>
    <row r="229" spans="1:39" s="7" customFormat="1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</row>
    <row r="230" spans="1:39" s="7" customFormat="1" ht="15.75" customHeight="1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</row>
    <row r="231" spans="1:39" s="200" customFormat="1" ht="56.25" customHeight="1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 s="226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</row>
    <row r="232" spans="1:39" s="200" customFormat="1" ht="35.1" customHeight="1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</row>
    <row r="233" spans="1:39" s="7" customFormat="1" ht="35.1" customHeight="1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</row>
    <row r="234" spans="1:39" s="7" customFormat="1" ht="35.1" customHeight="1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</row>
    <row r="235" spans="1:39" s="7" customFormat="1" ht="35.1" customHeight="1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</row>
    <row r="236" spans="1:39" s="7" customFormat="1" ht="35.1" customHeight="1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</row>
    <row r="237" spans="1:39" s="7" customFormat="1" ht="35.1" customHeight="1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</row>
    <row r="238" spans="1:39" s="7" customFormat="1" ht="35.1" customHeight="1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</row>
    <row r="239" spans="1:39" s="200" customFormat="1" ht="35.1" customHeight="1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</row>
    <row r="240" spans="1:39" s="7" customFormat="1" ht="35.1" customHeight="1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</row>
    <row r="241" spans="1:40" s="7" customFormat="1" ht="35.1" customHeight="1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</row>
    <row r="242" spans="1:40" s="7" customFormat="1" ht="35.1" customHeight="1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</row>
    <row r="243" spans="1:40" s="7" customFormat="1" ht="35.1" customHeight="1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</row>
    <row r="244" spans="1:40" s="7" customFormat="1" ht="35.1" customHeight="1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</row>
    <row r="245" spans="1:40" s="7" customFormat="1" ht="30.75" customHeight="1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</row>
    <row r="246" spans="1:40" s="7" customFormat="1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</row>
    <row r="247" spans="1:40" s="200" customFormat="1" ht="74.25" customHeight="1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</row>
    <row r="248" spans="1:40" s="7" customFormat="1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</row>
    <row r="249" spans="1:40" s="7" customFormat="1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</row>
    <row r="250" spans="1:40" s="7" customFormat="1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</row>
    <row r="251" spans="1:40" s="7" customFormat="1" ht="45" customHeight="1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</row>
    <row r="252" spans="1:40" s="7" customFormat="1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</row>
    <row r="253" spans="1:40" s="7" customFormat="1" ht="15.75" customHeight="1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</row>
    <row r="254" spans="1:40" s="7" customFormat="1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</row>
    <row r="255" spans="1:40" s="7" customFormat="1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</row>
    <row r="256" spans="1:40" s="7" customFormat="1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</row>
    <row r="257" spans="1:42" s="7" customFormat="1" ht="35.1" customHeight="1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</row>
    <row r="258" spans="1:42" s="7" customFormat="1" ht="30.75" customHeight="1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</row>
    <row r="259" spans="1:42" s="7" customFormat="1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X259" s="7">
        <f>37195786+53791160</f>
        <v>90986946</v>
      </c>
    </row>
    <row r="260" spans="1:42" s="7" customFormat="1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</row>
    <row r="261" spans="1:42" s="7" customFormat="1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</row>
    <row r="262" spans="1:42" s="7" customFormat="1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</row>
    <row r="263" spans="1:42" s="7" customFormat="1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</row>
    <row r="264" spans="1:42" s="7" customFormat="1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</row>
    <row r="265" spans="1:42" s="7" customFormat="1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</row>
    <row r="266" spans="1:42" s="7" customFormat="1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</row>
    <row r="267" spans="1:42" s="7" customFormat="1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</row>
    <row r="268" spans="1:42" s="7" customFormat="1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</row>
    <row r="269" spans="1:42" s="7" customFormat="1" ht="15.75" customHeight="1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</row>
    <row r="270" spans="1:42" s="7" customFormat="1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</row>
    <row r="271" spans="1:42" s="7" customFormat="1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</row>
    <row r="272" spans="1:42" s="200" customFormat="1" ht="30.75" customHeight="1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</row>
    <row r="273" spans="1:42" s="7" customFormat="1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</row>
    <row r="274" spans="1:42" s="7" customFormat="1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</row>
    <row r="275" spans="1:42" s="7" customFormat="1" ht="15.75" customHeight="1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</row>
    <row r="276" spans="1:42" s="7" customFormat="1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</row>
    <row r="277" spans="1:42" s="200" customFormat="1" ht="36" customHeight="1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</row>
    <row r="278" spans="1:42" s="7" customFormat="1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</row>
    <row r="279" spans="1:42" s="7" customFormat="1" ht="15.75" customHeight="1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</row>
    <row r="280" spans="1:42" s="7" customFormat="1" ht="30.75" customHeight="1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</row>
    <row r="281" spans="1:42" s="7" customFormat="1" ht="15.75" customHeight="1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</row>
    <row r="282" spans="1:42" s="7" customFormat="1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</row>
    <row r="283" spans="1:42" s="7" customFormat="1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</row>
    <row r="284" spans="1:42" s="7" customFormat="1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</row>
    <row r="285" spans="1:42" ht="24" customHeight="1" x14ac:dyDescent="0.25"/>
    <row r="286" spans="1:42" ht="52.5" customHeight="1" x14ac:dyDescent="0.25"/>
    <row r="287" spans="1:42" ht="43.5" customHeight="1" x14ac:dyDescent="0.25"/>
    <row r="288" spans="1:42" ht="48.75" customHeight="1" x14ac:dyDescent="0.25"/>
    <row r="289" ht="45.75" customHeight="1" x14ac:dyDescent="0.25"/>
  </sheetData>
  <mergeCells count="161">
    <mergeCell ref="K104:L104"/>
    <mergeCell ref="I9:I10"/>
    <mergeCell ref="J9:J10"/>
    <mergeCell ref="K9:N9"/>
    <mergeCell ref="O9:O10"/>
    <mergeCell ref="P9:U10"/>
    <mergeCell ref="P11:U11"/>
    <mergeCell ref="B1:U1"/>
    <mergeCell ref="B2:J2"/>
    <mergeCell ref="B4:J4"/>
    <mergeCell ref="B6:U6"/>
    <mergeCell ref="B8:F8"/>
    <mergeCell ref="B9:D9"/>
    <mergeCell ref="E9:E10"/>
    <mergeCell ref="F9:F10"/>
    <mergeCell ref="G9:G10"/>
    <mergeCell ref="H9:H10"/>
    <mergeCell ref="P14:U14"/>
    <mergeCell ref="B16:B17"/>
    <mergeCell ref="C16:C17"/>
    <mergeCell ref="D16:D17"/>
    <mergeCell ref="E16:F17"/>
    <mergeCell ref="E18:F18"/>
    <mergeCell ref="B13:F13"/>
    <mergeCell ref="B14:D14"/>
    <mergeCell ref="E14:F15"/>
    <mergeCell ref="G14:J14"/>
    <mergeCell ref="K14:N14"/>
    <mergeCell ref="O14:O15"/>
    <mergeCell ref="H22:H23"/>
    <mergeCell ref="I22:I23"/>
    <mergeCell ref="J22:J23"/>
    <mergeCell ref="K22:N22"/>
    <mergeCell ref="O22:O23"/>
    <mergeCell ref="P22:U23"/>
    <mergeCell ref="E19:F19"/>
    <mergeCell ref="B21:F21"/>
    <mergeCell ref="B22:D22"/>
    <mergeCell ref="E22:E23"/>
    <mergeCell ref="F22:F23"/>
    <mergeCell ref="G22:G23"/>
    <mergeCell ref="B29:B31"/>
    <mergeCell ref="C29:C31"/>
    <mergeCell ref="D29:D31"/>
    <mergeCell ref="E29:F31"/>
    <mergeCell ref="B34:F34"/>
    <mergeCell ref="B35:D35"/>
    <mergeCell ref="E35:E36"/>
    <mergeCell ref="F35:F36"/>
    <mergeCell ref="P24:U24"/>
    <mergeCell ref="B26:F26"/>
    <mergeCell ref="B27:D27"/>
    <mergeCell ref="E27:F28"/>
    <mergeCell ref="G27:J27"/>
    <mergeCell ref="K27:N27"/>
    <mergeCell ref="O27:O28"/>
    <mergeCell ref="P27:U27"/>
    <mergeCell ref="B42:B44"/>
    <mergeCell ref="C42:C44"/>
    <mergeCell ref="D42:D44"/>
    <mergeCell ref="E42:F44"/>
    <mergeCell ref="B45:B47"/>
    <mergeCell ref="C45:C47"/>
    <mergeCell ref="D45:D47"/>
    <mergeCell ref="E45:F47"/>
    <mergeCell ref="P35:U36"/>
    <mergeCell ref="P37:U37"/>
    <mergeCell ref="B39:F39"/>
    <mergeCell ref="B40:D40"/>
    <mergeCell ref="E40:F41"/>
    <mergeCell ref="G40:J40"/>
    <mergeCell ref="K40:N40"/>
    <mergeCell ref="O40:O41"/>
    <mergeCell ref="P40:U40"/>
    <mergeCell ref="G35:G36"/>
    <mergeCell ref="H35:H36"/>
    <mergeCell ref="I35:I36"/>
    <mergeCell ref="J35:J36"/>
    <mergeCell ref="K35:N35"/>
    <mergeCell ref="O35:O36"/>
    <mergeCell ref="P61:U62"/>
    <mergeCell ref="P63:U63"/>
    <mergeCell ref="B60:F60"/>
    <mergeCell ref="B61:D61"/>
    <mergeCell ref="E61:E62"/>
    <mergeCell ref="F61:F62"/>
    <mergeCell ref="G61:G62"/>
    <mergeCell ref="H61:H62"/>
    <mergeCell ref="B48:B51"/>
    <mergeCell ref="C48:C51"/>
    <mergeCell ref="D48:D51"/>
    <mergeCell ref="E48:F51"/>
    <mergeCell ref="E52:F52"/>
    <mergeCell ref="B53:B55"/>
    <mergeCell ref="C53:C55"/>
    <mergeCell ref="D53:D55"/>
    <mergeCell ref="E53:F55"/>
    <mergeCell ref="B65:F65"/>
    <mergeCell ref="B66:D66"/>
    <mergeCell ref="E66:F67"/>
    <mergeCell ref="G66:J66"/>
    <mergeCell ref="K66:N66"/>
    <mergeCell ref="O66:O67"/>
    <mergeCell ref="I61:I62"/>
    <mergeCell ref="J61:J62"/>
    <mergeCell ref="K61:N61"/>
    <mergeCell ref="O61:O62"/>
    <mergeCell ref="B72:B76"/>
    <mergeCell ref="C72:C76"/>
    <mergeCell ref="D72:D76"/>
    <mergeCell ref="E72:F76"/>
    <mergeCell ref="B81:F81"/>
    <mergeCell ref="B82:D82"/>
    <mergeCell ref="E82:E83"/>
    <mergeCell ref="F82:F83"/>
    <mergeCell ref="P66:U66"/>
    <mergeCell ref="E68:F68"/>
    <mergeCell ref="E69:F69"/>
    <mergeCell ref="B70:B71"/>
    <mergeCell ref="C70:C71"/>
    <mergeCell ref="D70:D71"/>
    <mergeCell ref="E70:F71"/>
    <mergeCell ref="B89:B90"/>
    <mergeCell ref="C89:C90"/>
    <mergeCell ref="D89:D90"/>
    <mergeCell ref="E89:F90"/>
    <mergeCell ref="B93:F93"/>
    <mergeCell ref="B94:D94"/>
    <mergeCell ref="E94:E95"/>
    <mergeCell ref="F94:F95"/>
    <mergeCell ref="P82:U83"/>
    <mergeCell ref="P84:U84"/>
    <mergeCell ref="B86:F86"/>
    <mergeCell ref="B87:D87"/>
    <mergeCell ref="E87:F88"/>
    <mergeCell ref="G87:J87"/>
    <mergeCell ref="K87:N87"/>
    <mergeCell ref="O87:O88"/>
    <mergeCell ref="P87:U87"/>
    <mergeCell ref="G82:G83"/>
    <mergeCell ref="H82:H83"/>
    <mergeCell ref="I82:I83"/>
    <mergeCell ref="J82:J83"/>
    <mergeCell ref="K82:N82"/>
    <mergeCell ref="O82:O83"/>
    <mergeCell ref="E101:F101"/>
    <mergeCell ref="P94:U95"/>
    <mergeCell ref="P96:U96"/>
    <mergeCell ref="B98:F98"/>
    <mergeCell ref="B99:D99"/>
    <mergeCell ref="E99:F100"/>
    <mergeCell ref="G99:J99"/>
    <mergeCell ref="K99:N99"/>
    <mergeCell ref="O99:O100"/>
    <mergeCell ref="P99:U99"/>
    <mergeCell ref="G94:G95"/>
    <mergeCell ref="H94:H95"/>
    <mergeCell ref="I94:I95"/>
    <mergeCell ref="J94:J95"/>
    <mergeCell ref="K94:N94"/>
    <mergeCell ref="O94:O95"/>
  </mergeCells>
  <pageMargins left="0.39370078740157483" right="0.19685039370078741" top="0.47244094488188981" bottom="0.59055118110236227" header="0.31496062992125984" footer="0.31496062992125984"/>
  <pageSetup paperSize="163" scale="60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92"/>
  <sheetViews>
    <sheetView topLeftCell="F1" zoomScale="62" zoomScaleNormal="62" workbookViewId="0">
      <selection activeCell="A16" sqref="A16"/>
    </sheetView>
  </sheetViews>
  <sheetFormatPr baseColWidth="10" defaultRowHeight="15" x14ac:dyDescent="0.25"/>
  <cols>
    <col min="1" max="1" width="2.85546875" customWidth="1"/>
    <col min="2" max="2" width="4.42578125" customWidth="1"/>
    <col min="3" max="3" width="12.42578125" customWidth="1"/>
    <col min="4" max="4" width="4.7109375" customWidth="1"/>
    <col min="5" max="5" width="18.85546875" customWidth="1"/>
    <col min="6" max="6" width="22" customWidth="1"/>
    <col min="7" max="7" width="25" customWidth="1"/>
    <col min="8" max="8" width="16.140625" customWidth="1"/>
    <col min="9" max="9" width="17" customWidth="1"/>
    <col min="10" max="11" width="17.5703125" customWidth="1"/>
    <col min="12" max="12" width="15.42578125" customWidth="1"/>
    <col min="13" max="13" width="20.140625" customWidth="1"/>
    <col min="14" max="14" width="17.28515625" customWidth="1"/>
    <col min="15" max="15" width="18.7109375" customWidth="1"/>
    <col min="16" max="16" width="4.28515625" customWidth="1"/>
    <col min="17" max="17" width="7.5703125" customWidth="1"/>
    <col min="18" max="18" width="4.85546875" customWidth="1"/>
    <col min="19" max="19" width="4.5703125" customWidth="1"/>
    <col min="20" max="20" width="4.28515625" customWidth="1"/>
    <col min="21" max="21" width="4.140625" customWidth="1"/>
    <col min="23" max="23" width="12.28515625" bestFit="1" customWidth="1"/>
    <col min="24" max="24" width="11.5703125" bestFit="1" customWidth="1"/>
    <col min="25" max="25" width="21.140625" customWidth="1"/>
    <col min="26" max="26" width="13.7109375" bestFit="1" customWidth="1"/>
  </cols>
  <sheetData>
    <row r="1" spans="1:25" ht="14.25" customHeight="1" x14ac:dyDescent="0.25">
      <c r="A1" s="1"/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</row>
    <row r="2" spans="1:25" s="6" customFormat="1" ht="21.75" customHeight="1" x14ac:dyDescent="0.3">
      <c r="B2" s="359" t="s">
        <v>245</v>
      </c>
      <c r="C2" s="359"/>
      <c r="D2" s="359"/>
      <c r="E2" s="359"/>
      <c r="F2" s="359"/>
      <c r="G2" s="359"/>
      <c r="H2" s="359"/>
      <c r="I2" s="359"/>
      <c r="J2" s="359"/>
      <c r="K2" s="36"/>
      <c r="L2" s="36"/>
      <c r="M2" s="37"/>
      <c r="N2" s="36"/>
      <c r="O2" s="36"/>
    </row>
    <row r="3" spans="1:25" s="6" customFormat="1" ht="21.75" customHeight="1" x14ac:dyDescent="0.3">
      <c r="B3" s="246"/>
      <c r="C3" s="246"/>
      <c r="D3" s="246"/>
      <c r="E3" s="246"/>
      <c r="F3" s="246"/>
      <c r="G3" s="246"/>
      <c r="H3" s="246"/>
      <c r="I3" s="246"/>
      <c r="J3" s="246"/>
      <c r="K3" s="36"/>
      <c r="L3" s="36"/>
      <c r="M3" s="37"/>
      <c r="N3" s="36"/>
      <c r="O3" s="36"/>
    </row>
    <row r="4" spans="1:25" s="6" customFormat="1" ht="18.75" customHeight="1" x14ac:dyDescent="0.3">
      <c r="B4" s="359" t="s">
        <v>76</v>
      </c>
      <c r="C4" s="359"/>
      <c r="D4" s="359"/>
      <c r="E4" s="359"/>
      <c r="F4" s="359"/>
      <c r="G4" s="359"/>
      <c r="H4" s="359"/>
      <c r="I4" s="359"/>
      <c r="J4" s="359"/>
      <c r="K4" s="36"/>
      <c r="L4" s="36"/>
      <c r="M4" s="36"/>
      <c r="N4" s="36"/>
      <c r="O4" s="36"/>
    </row>
    <row r="5" spans="1:25" s="6" customFormat="1" ht="18.75" customHeight="1" x14ac:dyDescent="0.3">
      <c r="B5" s="246"/>
      <c r="C5" s="246"/>
      <c r="D5" s="246"/>
      <c r="E5" s="246"/>
      <c r="F5" s="246"/>
      <c r="G5" s="246"/>
      <c r="H5" s="246"/>
      <c r="I5" s="246"/>
      <c r="J5" s="246"/>
      <c r="K5" s="36"/>
      <c r="L5" s="36"/>
      <c r="M5" s="36"/>
      <c r="N5" s="36"/>
      <c r="O5" s="36"/>
    </row>
    <row r="6" spans="1:25" s="6" customFormat="1" ht="42" customHeight="1" x14ac:dyDescent="0.3">
      <c r="B6" s="360" t="s">
        <v>75</v>
      </c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</row>
    <row r="7" spans="1:25" s="7" customFormat="1" ht="18" thickBot="1" x14ac:dyDescent="0.35">
      <c r="B7" s="295" t="s">
        <v>77</v>
      </c>
      <c r="C7" s="295"/>
      <c r="D7" s="295"/>
      <c r="E7" s="295"/>
      <c r="F7" s="295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121"/>
      <c r="W7" s="121"/>
      <c r="X7" s="121"/>
      <c r="Y7" s="137"/>
    </row>
    <row r="8" spans="1:25" s="7" customFormat="1" ht="23.25" customHeight="1" thickTop="1" thickBot="1" x14ac:dyDescent="0.3">
      <c r="B8" s="296" t="s">
        <v>0</v>
      </c>
      <c r="C8" s="296"/>
      <c r="D8" s="296"/>
      <c r="E8" s="296" t="s">
        <v>1</v>
      </c>
      <c r="F8" s="296" t="s">
        <v>2</v>
      </c>
      <c r="G8" s="319" t="s">
        <v>3</v>
      </c>
      <c r="H8" s="319" t="s">
        <v>4</v>
      </c>
      <c r="I8" s="319" t="s">
        <v>5</v>
      </c>
      <c r="J8" s="319" t="s">
        <v>6</v>
      </c>
      <c r="K8" s="319" t="s">
        <v>7</v>
      </c>
      <c r="L8" s="319"/>
      <c r="M8" s="319"/>
      <c r="N8" s="319"/>
      <c r="O8" s="296" t="s">
        <v>8</v>
      </c>
      <c r="P8" s="296" t="s">
        <v>9</v>
      </c>
      <c r="Q8" s="296"/>
      <c r="R8" s="296"/>
      <c r="S8" s="296"/>
      <c r="T8" s="296"/>
      <c r="U8" s="296"/>
    </row>
    <row r="9" spans="1:25" s="7" customFormat="1" ht="42" customHeight="1" thickTop="1" thickBot="1" x14ac:dyDescent="0.3">
      <c r="B9" s="234" t="s">
        <v>10</v>
      </c>
      <c r="C9" s="234" t="s">
        <v>11</v>
      </c>
      <c r="D9" s="234" t="s">
        <v>12</v>
      </c>
      <c r="E9" s="296"/>
      <c r="F9" s="296"/>
      <c r="G9" s="319"/>
      <c r="H9" s="319"/>
      <c r="I9" s="319"/>
      <c r="J9" s="319"/>
      <c r="K9" s="12" t="s">
        <v>13</v>
      </c>
      <c r="L9" s="12" t="s">
        <v>14</v>
      </c>
      <c r="M9" s="12" t="s">
        <v>116</v>
      </c>
      <c r="N9" s="12" t="s">
        <v>15</v>
      </c>
      <c r="O9" s="296"/>
      <c r="P9" s="296"/>
      <c r="Q9" s="296"/>
      <c r="R9" s="296"/>
      <c r="S9" s="296"/>
      <c r="T9" s="296"/>
      <c r="U9" s="296"/>
    </row>
    <row r="10" spans="1:25" s="7" customFormat="1" ht="255.75" customHeight="1" thickTop="1" thickBot="1" x14ac:dyDescent="0.3">
      <c r="B10" s="235" t="s">
        <v>79</v>
      </c>
      <c r="C10" s="235" t="s">
        <v>80</v>
      </c>
      <c r="D10" s="235">
        <v>6</v>
      </c>
      <c r="E10" s="41" t="s">
        <v>114</v>
      </c>
      <c r="F10" s="239" t="s">
        <v>50</v>
      </c>
      <c r="G10" s="235" t="s">
        <v>51</v>
      </c>
      <c r="H10" s="235" t="s">
        <v>18</v>
      </c>
      <c r="I10" s="235">
        <v>1347</v>
      </c>
      <c r="J10" s="235">
        <f>SUM(K10:N10)</f>
        <v>2410</v>
      </c>
      <c r="K10" s="247">
        <v>0</v>
      </c>
      <c r="L10" s="247">
        <v>840</v>
      </c>
      <c r="M10" s="247">
        <v>1180</v>
      </c>
      <c r="N10" s="45">
        <v>390</v>
      </c>
      <c r="O10" s="50">
        <f>+J15+J17</f>
        <v>220318135.73000002</v>
      </c>
      <c r="P10" s="316" t="s">
        <v>115</v>
      </c>
      <c r="Q10" s="317"/>
      <c r="R10" s="317"/>
      <c r="S10" s="317"/>
      <c r="T10" s="317"/>
      <c r="U10" s="318"/>
    </row>
    <row r="11" spans="1:25" s="7" customFormat="1" x14ac:dyDescent="0.25"/>
    <row r="12" spans="1:25" s="7" customFormat="1" ht="18" thickBot="1" x14ac:dyDescent="0.35">
      <c r="B12" s="295" t="s">
        <v>78</v>
      </c>
      <c r="C12" s="295"/>
      <c r="D12" s="295"/>
      <c r="E12" s="295"/>
      <c r="F12" s="295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</row>
    <row r="13" spans="1:25" s="7" customFormat="1" ht="27" customHeight="1" thickTop="1" thickBot="1" x14ac:dyDescent="0.3">
      <c r="B13" s="296" t="s">
        <v>0</v>
      </c>
      <c r="C13" s="296"/>
      <c r="D13" s="296"/>
      <c r="E13" s="296" t="s">
        <v>19</v>
      </c>
      <c r="F13" s="296"/>
      <c r="G13" s="319" t="s">
        <v>20</v>
      </c>
      <c r="H13" s="319"/>
      <c r="I13" s="319"/>
      <c r="J13" s="319"/>
      <c r="K13" s="319" t="s">
        <v>21</v>
      </c>
      <c r="L13" s="319"/>
      <c r="M13" s="319"/>
      <c r="N13" s="319"/>
      <c r="O13" s="296" t="s">
        <v>22</v>
      </c>
      <c r="P13" s="319" t="s">
        <v>23</v>
      </c>
      <c r="Q13" s="319"/>
      <c r="R13" s="319"/>
      <c r="S13" s="319"/>
      <c r="T13" s="319"/>
      <c r="U13" s="319"/>
    </row>
    <row r="14" spans="1:25" s="7" customFormat="1" ht="68.25" customHeight="1" thickTop="1" thickBot="1" x14ac:dyDescent="0.3">
      <c r="B14" s="234" t="s">
        <v>10</v>
      </c>
      <c r="C14" s="234" t="s">
        <v>11</v>
      </c>
      <c r="D14" s="234" t="s">
        <v>12</v>
      </c>
      <c r="E14" s="296"/>
      <c r="F14" s="296"/>
      <c r="G14" s="12" t="s">
        <v>36</v>
      </c>
      <c r="H14" s="12" t="s">
        <v>24</v>
      </c>
      <c r="I14" s="12" t="s">
        <v>25</v>
      </c>
      <c r="J14" s="12" t="s">
        <v>26</v>
      </c>
      <c r="K14" s="12" t="s">
        <v>13</v>
      </c>
      <c r="L14" s="12" t="s">
        <v>14</v>
      </c>
      <c r="M14" s="12" t="s">
        <v>116</v>
      </c>
      <c r="N14" s="12" t="s">
        <v>15</v>
      </c>
      <c r="O14" s="296"/>
      <c r="P14" s="13" t="s">
        <v>27</v>
      </c>
      <c r="Q14" s="13" t="s">
        <v>28</v>
      </c>
      <c r="R14" s="13" t="s">
        <v>29</v>
      </c>
      <c r="S14" s="13" t="s">
        <v>30</v>
      </c>
      <c r="T14" s="13" t="s">
        <v>31</v>
      </c>
      <c r="U14" s="13" t="s">
        <v>32</v>
      </c>
    </row>
    <row r="15" spans="1:25" s="7" customFormat="1" ht="89.25" customHeight="1" thickTop="1" thickBot="1" x14ac:dyDescent="0.3">
      <c r="B15" s="235" t="s">
        <v>79</v>
      </c>
      <c r="C15" s="235" t="s">
        <v>80</v>
      </c>
      <c r="D15" s="235">
        <v>6</v>
      </c>
      <c r="E15" s="291" t="s">
        <v>117</v>
      </c>
      <c r="F15" s="291"/>
      <c r="G15" s="202" t="s">
        <v>259</v>
      </c>
      <c r="H15" s="235">
        <v>2410</v>
      </c>
      <c r="I15" s="46">
        <v>57600.103000000003</v>
      </c>
      <c r="J15" s="158">
        <f>+H15*I15</f>
        <v>138816248.23000002</v>
      </c>
      <c r="K15" s="50">
        <v>0</v>
      </c>
      <c r="L15" s="50">
        <f>+J15/3</f>
        <v>46272082.74333334</v>
      </c>
      <c r="M15" s="50">
        <f t="shared" ref="L15:N17" si="0">+L15</f>
        <v>46272082.74333334</v>
      </c>
      <c r="N15" s="50">
        <f t="shared" si="0"/>
        <v>46272082.74333334</v>
      </c>
      <c r="O15" s="235" t="s">
        <v>53</v>
      </c>
      <c r="P15" s="235">
        <v>98</v>
      </c>
      <c r="Q15" s="60">
        <v>2071</v>
      </c>
      <c r="R15" s="235">
        <v>4</v>
      </c>
      <c r="S15" s="235">
        <v>1</v>
      </c>
      <c r="T15" s="235">
        <v>4</v>
      </c>
      <c r="U15" s="235">
        <v>1</v>
      </c>
      <c r="V15" s="64"/>
    </row>
    <row r="16" spans="1:25" s="7" customFormat="1" ht="90" customHeight="1" thickBot="1" x14ac:dyDescent="0.3">
      <c r="B16" s="221"/>
      <c r="C16" s="221"/>
      <c r="D16" s="221">
        <v>6</v>
      </c>
      <c r="E16" s="292" t="s">
        <v>153</v>
      </c>
      <c r="F16" s="292"/>
      <c r="G16" s="222" t="s">
        <v>259</v>
      </c>
      <c r="H16" s="221">
        <v>3500</v>
      </c>
      <c r="I16" s="223">
        <v>135000</v>
      </c>
      <c r="J16" s="224">
        <f>+H16*I16</f>
        <v>472500000</v>
      </c>
      <c r="K16" s="224">
        <f>+J16/4</f>
        <v>118125000</v>
      </c>
      <c r="L16" s="224">
        <f>+K16</f>
        <v>118125000</v>
      </c>
      <c r="M16" s="224">
        <f>+L16</f>
        <v>118125000</v>
      </c>
      <c r="N16" s="224">
        <f>+M16</f>
        <v>118125000</v>
      </c>
      <c r="O16" s="221" t="s">
        <v>52</v>
      </c>
      <c r="P16" s="221">
        <v>98</v>
      </c>
      <c r="Q16" s="248">
        <v>2071</v>
      </c>
      <c r="R16" s="248">
        <v>4</v>
      </c>
      <c r="S16" s="248">
        <v>1</v>
      </c>
      <c r="T16" s="248">
        <v>4</v>
      </c>
      <c r="U16" s="248">
        <v>1</v>
      </c>
    </row>
    <row r="17" spans="2:21" s="7" customFormat="1" ht="87.75" customHeight="1" thickTop="1" thickBot="1" x14ac:dyDescent="0.3">
      <c r="B17" s="232" t="s">
        <v>79</v>
      </c>
      <c r="C17" s="232" t="s">
        <v>80</v>
      </c>
      <c r="D17" s="232">
        <v>6</v>
      </c>
      <c r="E17" s="293" t="s">
        <v>118</v>
      </c>
      <c r="F17" s="294"/>
      <c r="G17" s="202" t="s">
        <v>259</v>
      </c>
      <c r="H17" s="232">
        <v>1150</v>
      </c>
      <c r="I17" s="96">
        <f>81501887.5/1150</f>
        <v>70871.206521739135</v>
      </c>
      <c r="J17" s="97">
        <f>SUM(K17:N17)</f>
        <v>81501887.5</v>
      </c>
      <c r="K17" s="97">
        <f>+I17*H17/4</f>
        <v>20375471.875</v>
      </c>
      <c r="L17" s="97">
        <f t="shared" si="0"/>
        <v>20375471.875</v>
      </c>
      <c r="M17" s="97">
        <f t="shared" si="0"/>
        <v>20375471.875</v>
      </c>
      <c r="N17" s="97">
        <f t="shared" si="0"/>
        <v>20375471.875</v>
      </c>
      <c r="O17" s="232" t="s">
        <v>53</v>
      </c>
      <c r="P17" s="235">
        <v>98</v>
      </c>
      <c r="Q17" s="60">
        <v>2071</v>
      </c>
      <c r="R17" s="232">
        <v>4</v>
      </c>
      <c r="S17" s="232">
        <v>1</v>
      </c>
      <c r="T17" s="232">
        <v>4</v>
      </c>
      <c r="U17" s="232">
        <v>1</v>
      </c>
    </row>
    <row r="18" spans="2:21" s="121" customFormat="1" x14ac:dyDescent="0.25">
      <c r="B18" s="139"/>
      <c r="C18" s="139"/>
      <c r="D18" s="139"/>
      <c r="E18" s="139"/>
      <c r="F18" s="139"/>
      <c r="G18" s="140"/>
      <c r="H18" s="140"/>
      <c r="I18" s="140"/>
      <c r="J18" s="141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</row>
    <row r="19" spans="2:21" s="121" customFormat="1" x14ac:dyDescent="0.25">
      <c r="B19" s="139"/>
      <c r="C19" s="139"/>
      <c r="D19" s="139"/>
      <c r="E19" s="139"/>
      <c r="F19" s="139"/>
      <c r="G19" s="156"/>
      <c r="H19" s="156"/>
      <c r="I19" s="156"/>
      <c r="J19" s="141"/>
      <c r="K19" s="156"/>
      <c r="L19" s="156"/>
      <c r="M19" s="213"/>
      <c r="N19" s="156"/>
      <c r="O19" s="140"/>
      <c r="P19" s="140"/>
      <c r="Q19" s="140"/>
      <c r="R19" s="140"/>
      <c r="S19" s="140"/>
      <c r="T19" s="140"/>
      <c r="U19" s="140"/>
    </row>
    <row r="20" spans="2:21" s="121" customFormat="1" x14ac:dyDescent="0.25">
      <c r="F20" s="207"/>
      <c r="H20" s="206"/>
      <c r="I20" s="207"/>
      <c r="J20" s="206"/>
      <c r="K20" s="206"/>
      <c r="L20" s="206"/>
    </row>
    <row r="21" spans="2:21" s="7" customFormat="1" ht="18" thickBot="1" x14ac:dyDescent="0.35">
      <c r="B21" s="313" t="s">
        <v>77</v>
      </c>
      <c r="C21" s="313"/>
      <c r="D21" s="313"/>
      <c r="E21" s="313"/>
      <c r="F21" s="313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</row>
    <row r="22" spans="2:21" s="7" customFormat="1" ht="15.75" customHeight="1" thickTop="1" thickBot="1" x14ac:dyDescent="0.3">
      <c r="B22" s="297" t="s">
        <v>0</v>
      </c>
      <c r="C22" s="297"/>
      <c r="D22" s="297"/>
      <c r="E22" s="297" t="s">
        <v>1</v>
      </c>
      <c r="F22" s="297" t="s">
        <v>2</v>
      </c>
      <c r="G22" s="331" t="s">
        <v>3</v>
      </c>
      <c r="H22" s="331" t="s">
        <v>4</v>
      </c>
      <c r="I22" s="331" t="s">
        <v>5</v>
      </c>
      <c r="J22" s="331" t="s">
        <v>6</v>
      </c>
      <c r="K22" s="331" t="s">
        <v>7</v>
      </c>
      <c r="L22" s="331"/>
      <c r="M22" s="331"/>
      <c r="N22" s="331"/>
      <c r="O22" s="297" t="s">
        <v>8</v>
      </c>
      <c r="P22" s="297" t="s">
        <v>9</v>
      </c>
      <c r="Q22" s="297"/>
      <c r="R22" s="297"/>
      <c r="S22" s="297"/>
      <c r="T22" s="297"/>
      <c r="U22" s="297"/>
    </row>
    <row r="23" spans="2:21" s="7" customFormat="1" ht="16.5" thickTop="1" thickBot="1" x14ac:dyDescent="0.3">
      <c r="B23" s="231" t="s">
        <v>10</v>
      </c>
      <c r="C23" s="231" t="s">
        <v>11</v>
      </c>
      <c r="D23" s="231" t="s">
        <v>12</v>
      </c>
      <c r="E23" s="297"/>
      <c r="F23" s="297"/>
      <c r="G23" s="331"/>
      <c r="H23" s="331"/>
      <c r="I23" s="331"/>
      <c r="J23" s="331"/>
      <c r="K23" s="241" t="s">
        <v>13</v>
      </c>
      <c r="L23" s="241" t="s">
        <v>14</v>
      </c>
      <c r="M23" s="241" t="s">
        <v>116</v>
      </c>
      <c r="N23" s="241" t="s">
        <v>15</v>
      </c>
      <c r="O23" s="297"/>
      <c r="P23" s="297"/>
      <c r="Q23" s="297"/>
      <c r="R23" s="297"/>
      <c r="S23" s="297"/>
      <c r="T23" s="297"/>
      <c r="U23" s="297"/>
    </row>
    <row r="24" spans="2:21" s="7" customFormat="1" ht="213.75" customHeight="1" thickTop="1" thickBot="1" x14ac:dyDescent="0.3">
      <c r="B24" s="247" t="s">
        <v>79</v>
      </c>
      <c r="C24" s="247" t="s">
        <v>80</v>
      </c>
      <c r="D24" s="247">
        <v>6</v>
      </c>
      <c r="E24" s="188" t="s">
        <v>119</v>
      </c>
      <c r="F24" s="157" t="s">
        <v>120</v>
      </c>
      <c r="G24" s="247" t="s">
        <v>51</v>
      </c>
      <c r="H24" s="247" t="s">
        <v>54</v>
      </c>
      <c r="I24" s="247">
        <v>338</v>
      </c>
      <c r="J24" s="247">
        <f>SUM(K24:N24)</f>
        <v>825</v>
      </c>
      <c r="K24" s="247">
        <v>0</v>
      </c>
      <c r="L24" s="247">
        <v>261</v>
      </c>
      <c r="M24" s="247">
        <v>59</v>
      </c>
      <c r="N24" s="247">
        <v>505</v>
      </c>
      <c r="O24" s="247" t="s">
        <v>55</v>
      </c>
      <c r="P24" s="332" t="s">
        <v>56</v>
      </c>
      <c r="Q24" s="333"/>
      <c r="R24" s="333"/>
      <c r="S24" s="333"/>
      <c r="T24" s="333"/>
      <c r="U24" s="334"/>
    </row>
    <row r="25" spans="2:21" s="7" customFormat="1" x14ac:dyDescent="0.25"/>
    <row r="26" spans="2:21" s="7" customFormat="1" x14ac:dyDescent="0.25"/>
    <row r="27" spans="2:21" s="7" customFormat="1" x14ac:dyDescent="0.25"/>
    <row r="28" spans="2:21" s="7" customFormat="1" x14ac:dyDescent="0.25"/>
    <row r="29" spans="2:21" s="7" customFormat="1" ht="18" thickBot="1" x14ac:dyDescent="0.35">
      <c r="B29" s="295" t="s">
        <v>78</v>
      </c>
      <c r="C29" s="295"/>
      <c r="D29" s="295"/>
      <c r="E29" s="295"/>
      <c r="F29" s="295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</row>
    <row r="30" spans="2:21" s="7" customFormat="1" ht="25.5" customHeight="1" thickTop="1" thickBot="1" x14ac:dyDescent="0.3">
      <c r="B30" s="296" t="s">
        <v>0</v>
      </c>
      <c r="C30" s="296"/>
      <c r="D30" s="296"/>
      <c r="E30" s="296" t="s">
        <v>19</v>
      </c>
      <c r="F30" s="296"/>
      <c r="G30" s="319" t="s">
        <v>20</v>
      </c>
      <c r="H30" s="319"/>
      <c r="I30" s="319"/>
      <c r="J30" s="319"/>
      <c r="K30" s="319" t="s">
        <v>21</v>
      </c>
      <c r="L30" s="319"/>
      <c r="M30" s="319"/>
      <c r="N30" s="319"/>
      <c r="O30" s="296" t="s">
        <v>22</v>
      </c>
      <c r="P30" s="319" t="s">
        <v>23</v>
      </c>
      <c r="Q30" s="319"/>
      <c r="R30" s="319"/>
      <c r="S30" s="319"/>
      <c r="T30" s="319"/>
      <c r="U30" s="319"/>
    </row>
    <row r="31" spans="2:21" s="7" customFormat="1" ht="41.25" customHeight="1" thickTop="1" thickBot="1" x14ac:dyDescent="0.3">
      <c r="B31" s="234" t="s">
        <v>10</v>
      </c>
      <c r="C31" s="234" t="s">
        <v>11</v>
      </c>
      <c r="D31" s="234" t="s">
        <v>12</v>
      </c>
      <c r="E31" s="296"/>
      <c r="F31" s="296"/>
      <c r="G31" s="12" t="s">
        <v>36</v>
      </c>
      <c r="H31" s="12" t="s">
        <v>24</v>
      </c>
      <c r="I31" s="12" t="s">
        <v>25</v>
      </c>
      <c r="J31" s="12" t="s">
        <v>26</v>
      </c>
      <c r="K31" s="12" t="s">
        <v>13</v>
      </c>
      <c r="L31" s="12" t="s">
        <v>14</v>
      </c>
      <c r="M31" s="12" t="s">
        <v>116</v>
      </c>
      <c r="N31" s="12" t="s">
        <v>15</v>
      </c>
      <c r="O31" s="296"/>
      <c r="P31" s="13" t="s">
        <v>27</v>
      </c>
      <c r="Q31" s="13" t="s">
        <v>28</v>
      </c>
      <c r="R31" s="13" t="s">
        <v>29</v>
      </c>
      <c r="S31" s="13" t="s">
        <v>30</v>
      </c>
      <c r="T31" s="13" t="s">
        <v>31</v>
      </c>
      <c r="U31" s="13" t="s">
        <v>32</v>
      </c>
    </row>
    <row r="32" spans="2:21" s="7" customFormat="1" ht="69" customHeight="1" thickTop="1" thickBot="1" x14ac:dyDescent="0.3">
      <c r="B32" s="235" t="s">
        <v>79</v>
      </c>
      <c r="C32" s="235" t="s">
        <v>80</v>
      </c>
      <c r="D32" s="235">
        <v>6</v>
      </c>
      <c r="E32" s="291" t="s">
        <v>246</v>
      </c>
      <c r="F32" s="291"/>
      <c r="G32" s="202" t="s">
        <v>259</v>
      </c>
      <c r="H32" s="235">
        <v>825</v>
      </c>
      <c r="I32" s="46">
        <v>57600.01</v>
      </c>
      <c r="J32" s="50">
        <f>+H32*I32</f>
        <v>47520008.25</v>
      </c>
      <c r="K32" s="50">
        <v>0</v>
      </c>
      <c r="L32" s="50">
        <f>+J32/3</f>
        <v>15840002.75</v>
      </c>
      <c r="M32" s="50">
        <f t="shared" ref="M32:N32" si="1">+L32</f>
        <v>15840002.75</v>
      </c>
      <c r="N32" s="50">
        <f t="shared" si="1"/>
        <v>15840002.75</v>
      </c>
      <c r="O32" s="190" t="s">
        <v>241</v>
      </c>
      <c r="P32" s="235">
        <v>0</v>
      </c>
      <c r="Q32" s="60">
        <v>0</v>
      </c>
      <c r="R32" s="235">
        <v>0</v>
      </c>
      <c r="S32" s="235">
        <v>0</v>
      </c>
      <c r="T32" s="235">
        <v>0</v>
      </c>
      <c r="U32" s="235">
        <v>0</v>
      </c>
    </row>
    <row r="33" spans="1:21" s="7" customFormat="1" x14ac:dyDescent="0.25"/>
    <row r="34" spans="1:21" s="7" customFormat="1" x14ac:dyDescent="0.25"/>
    <row r="35" spans="1:21" s="7" customFormat="1" x14ac:dyDescent="0.25"/>
    <row r="36" spans="1:21" s="7" customFormat="1" x14ac:dyDescent="0.25"/>
    <row r="37" spans="1:21" s="7" customFormat="1" x14ac:dyDescent="0.25"/>
    <row r="38" spans="1:21" s="7" customFormat="1" ht="15.75" x14ac:dyDescent="0.25">
      <c r="A38"/>
      <c r="B38"/>
      <c r="C38"/>
      <c r="D38"/>
      <c r="E38"/>
      <c r="F38"/>
      <c r="G38" s="26"/>
      <c r="H38" s="214"/>
      <c r="I38"/>
      <c r="J38" s="16"/>
      <c r="K38" s="16"/>
      <c r="L38" s="214"/>
      <c r="M38" s="11"/>
      <c r="N38"/>
      <c r="O38" s="11"/>
      <c r="P38"/>
      <c r="Q38"/>
      <c r="R38"/>
      <c r="S38"/>
      <c r="T38"/>
      <c r="U38"/>
    </row>
    <row r="39" spans="1:21" s="7" customFormat="1" ht="16.5" customHeight="1" x14ac:dyDescent="0.25">
      <c r="A39"/>
      <c r="B39"/>
      <c r="C39"/>
      <c r="D39"/>
      <c r="E39"/>
      <c r="F39" s="11"/>
      <c r="G39" s="27"/>
      <c r="H39"/>
      <c r="I39"/>
      <c r="J39" s="11"/>
      <c r="K39" s="370" t="s">
        <v>276</v>
      </c>
      <c r="L39" s="370"/>
      <c r="M39" s="249">
        <f>220318136</f>
        <v>220318136</v>
      </c>
      <c r="N39"/>
      <c r="O39"/>
      <c r="P39"/>
      <c r="Q39"/>
      <c r="R39"/>
      <c r="S39"/>
      <c r="T39"/>
      <c r="U39"/>
    </row>
    <row r="40" spans="1:21" s="7" customFormat="1" ht="36" customHeight="1" x14ac:dyDescent="0.25">
      <c r="A40"/>
      <c r="B40"/>
      <c r="C40"/>
      <c r="D40"/>
      <c r="E40"/>
      <c r="F40"/>
      <c r="G40" s="11"/>
      <c r="H40" s="11"/>
      <c r="I40"/>
      <c r="J40" s="229"/>
      <c r="K40" s="11"/>
      <c r="L40" s="11"/>
      <c r="M40" s="11"/>
      <c r="N40"/>
      <c r="O40" s="11"/>
      <c r="P40"/>
      <c r="Q40"/>
      <c r="R40"/>
      <c r="S40"/>
      <c r="T40"/>
      <c r="U40"/>
    </row>
    <row r="41" spans="1:21" s="7" customFormat="1" ht="191.25" customHeight="1" x14ac:dyDescent="0.25">
      <c r="A41"/>
      <c r="B41"/>
      <c r="C41"/>
      <c r="D41"/>
      <c r="E41"/>
      <c r="F41"/>
      <c r="G41" s="16"/>
      <c r="H41"/>
      <c r="I41"/>
      <c r="J41" s="11"/>
      <c r="K41"/>
      <c r="L41" s="11"/>
      <c r="M41" s="11"/>
      <c r="N41"/>
      <c r="O41"/>
      <c r="P41"/>
      <c r="Q41"/>
      <c r="R41"/>
      <c r="S41"/>
      <c r="T41"/>
      <c r="U41"/>
    </row>
    <row r="42" spans="1:21" s="7" customFormat="1" ht="15.75" x14ac:dyDescent="0.25">
      <c r="A42"/>
      <c r="B42"/>
      <c r="C42"/>
      <c r="D42"/>
      <c r="E42" s="23"/>
      <c r="F42" s="23"/>
      <c r="G42" s="28"/>
      <c r="H42" s="29"/>
      <c r="I42"/>
      <c r="J42" s="11"/>
      <c r="K42"/>
      <c r="L42"/>
      <c r="M42"/>
      <c r="N42"/>
      <c r="O42"/>
      <c r="P42"/>
      <c r="Q42"/>
      <c r="R42"/>
      <c r="S42"/>
      <c r="T42"/>
      <c r="U42"/>
    </row>
    <row r="43" spans="1:21" s="7" customFormat="1" x14ac:dyDescent="0.25">
      <c r="A43"/>
      <c r="B43"/>
      <c r="C43"/>
      <c r="D43"/>
      <c r="E43"/>
      <c r="F43"/>
      <c r="G43" s="11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s="7" customFormat="1" ht="27.75" customHeight="1" x14ac:dyDescent="0.25">
      <c r="A44"/>
      <c r="B44"/>
      <c r="C44"/>
      <c r="D44"/>
      <c r="E44"/>
      <c r="F44"/>
      <c r="G44" s="30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s="7" customFormat="1" ht="60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s="7" customFormat="1" ht="134.25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s="7" customFormat="1" ht="84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s="7" customFormat="1" ht="105.75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s="7" customForma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s="7" customForma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s="7" customForma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s="7" customFormat="1" ht="20.25" customHeigh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s="7" customForma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s="7" customFormat="1" ht="304.5" customHeigh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s="7" customForma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s="7" customForma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 s="7" customFormat="1" ht="20.25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s="7" customForma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 s="7" customFormat="1" ht="35.1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 s="7" customFormat="1" ht="35.1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 s="7" customFormat="1" ht="35.1" customHeigh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1" s="7" customFormat="1" ht="35.1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1" s="7" customForma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1" s="7" customForma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s="7" customFormat="1" ht="16.5" customHeigh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s="7" customFormat="1" ht="36.75" customHeigh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s="7" customFormat="1" ht="297" customHeigh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s="7" customForma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s="7" customFormat="1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s="7" customFormat="1" ht="16.5" customHeigh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s="7" customFormat="1" ht="57" customHeigh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s="7" customFormat="1" ht="61.5" customHeight="1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s="7" customFormat="1" ht="63" customHeight="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s="7" customFormat="1" ht="48" customHeigh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s="7" customFormat="1" ht="33" customHeigh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s="7" customFormat="1" ht="30.75" customHeigh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s="7" customFormat="1" ht="57" customHeigh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s="7" customFormat="1" ht="42.75" customHeigh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1" s="7" customFormat="1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 s="7" customFormat="1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 s="7" customFormat="1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1:21" s="7" customFormat="1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1:21" s="7" customFormat="1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1:21" s="7" customFormat="1" ht="16.5" customHeight="1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 s="7" customFormat="1" ht="42" customHeight="1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1:21" s="7" customFormat="1" ht="288.75" customHeight="1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1:21" s="7" customFormat="1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1:21" s="7" customFormat="1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1:21" s="7" customFormat="1" ht="17.25" customHeight="1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1:21" s="7" customFormat="1" ht="60" customHeight="1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1:21" s="7" customFormat="1" ht="35.1" customHeight="1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 s="7" customFormat="1" ht="35.1" customHeight="1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s="7" customFormat="1" ht="35.1" customHeight="1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s="7" customFormat="1" ht="35.1" customHeight="1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s="7" customFormat="1" ht="45" customHeight="1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s="7" customFormat="1" ht="45" customHeight="1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s="7" customFormat="1" ht="45" customHeight="1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s="7" customFormat="1" ht="45" customHeight="1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s="7" customFormat="1" ht="45" customHeight="1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s="7" customFormat="1" ht="45" customHeight="1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s="7" customFormat="1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s="7" customFormat="1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s="7" customFormat="1" ht="10.5" customHeight="1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s="7" customFormat="1" ht="16.5" customHeight="1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s="7" customFormat="1" ht="25.5" customHeight="1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s="7" customFormat="1" ht="23.25" customHeight="1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s="7" customFormat="1" ht="191.25" customHeight="1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s="7" customFormat="1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s="7" customFormat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s="7" customFormat="1" ht="26.25" customHeight="1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s="7" customFormat="1" ht="56.25" customHeight="1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s="7" customFormat="1" ht="16.5" customHeight="1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s="7" customFormat="1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s="7" customFormat="1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s="7" customFormat="1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s="7" customFormat="1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s="7" customFormat="1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s="7" customFormat="1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s="7" customFormat="1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s="7" customFormat="1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s="7" customFormat="1" ht="43.5" customHeight="1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s="7" customFormat="1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s="7" customFormat="1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s="7" customFormat="1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s="7" customFormat="1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s="7" customFormat="1" ht="35.1" customHeight="1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s="7" customFormat="1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s="7" customFormat="1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39" s="7" customFormat="1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39" s="7" customFormat="1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39" s="7" customFormat="1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39" s="7" customFormat="1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39" s="7" customFormat="1" ht="15.75" customHeight="1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39" s="200" customFormat="1" ht="56.25" customHeight="1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 s="226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</row>
    <row r="135" spans="1:39" s="200" customFormat="1" ht="35.1" customHeight="1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</row>
    <row r="136" spans="1:39" s="7" customFormat="1" ht="35.1" customHeight="1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</row>
    <row r="137" spans="1:39" s="7" customFormat="1" ht="35.1" customHeight="1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39" s="7" customFormat="1" ht="35.1" customHeight="1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39" s="7" customFormat="1" ht="35.1" customHeight="1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39" s="7" customFormat="1" ht="35.1" customHeight="1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39" s="7" customFormat="1" ht="35.1" customHeight="1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39" s="200" customFormat="1" ht="35.1" customHeight="1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</row>
    <row r="143" spans="1:39" s="7" customFormat="1" ht="35.1" customHeight="1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39" s="7" customFormat="1" ht="35.1" customHeight="1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40" s="7" customFormat="1" ht="35.1" customHeight="1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40" s="7" customFormat="1" ht="35.1" customHeight="1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40" s="7" customFormat="1" ht="35.1" customHeight="1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40" s="7" customFormat="1" ht="30.75" customHeight="1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40" s="7" customFormat="1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40" s="200" customFormat="1" ht="74.25" customHeight="1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</row>
    <row r="151" spans="1:40" s="7" customFormat="1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40" s="7" customFormat="1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40" s="7" customFormat="1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40" s="7" customFormat="1" ht="45" customHeight="1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40" s="7" customFormat="1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40" s="7" customFormat="1" ht="15.75" customHeight="1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40" s="7" customFormat="1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40" s="7" customFormat="1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40" s="7" customFormat="1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40" s="7" customFormat="1" ht="35.1" customHeight="1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42" s="7" customFormat="1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42" s="7" customFormat="1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X162" s="7">
        <f>37195786+53791160</f>
        <v>90986946</v>
      </c>
    </row>
    <row r="163" spans="1:42" s="7" customFormat="1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42" s="7" customFormat="1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42" s="7" customFormat="1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42" s="7" customFormat="1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42" s="7" customFormat="1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42" s="7" customFormat="1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42" s="7" customFormat="1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42" s="7" customFormat="1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42" s="7" customFormat="1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42" s="7" customFormat="1" ht="15.75" customHeight="1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42" s="7" customFormat="1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42" s="7" customFormat="1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42" s="200" customFormat="1" ht="30.75" customHeight="1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</row>
    <row r="176" spans="1:42" s="7" customFormat="1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42" s="7" customFormat="1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42" s="7" customFormat="1" ht="15.75" customHeight="1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42" s="7" customFormat="1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42" s="200" customFormat="1" ht="36" customHeight="1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</row>
    <row r="181" spans="1:42" s="7" customFormat="1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42" s="7" customFormat="1" ht="15.75" customHeight="1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42" s="7" customFormat="1" ht="30.75" customHeight="1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42" s="7" customFormat="1" ht="15.75" customHeight="1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42" s="7" customFormat="1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42" s="7" customFormat="1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42" s="7" customFormat="1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42" ht="24" customHeight="1" x14ac:dyDescent="0.25"/>
    <row r="189" spans="1:42" ht="52.5" customHeight="1" x14ac:dyDescent="0.25"/>
    <row r="190" spans="1:42" ht="43.5" customHeight="1" x14ac:dyDescent="0.25"/>
    <row r="191" spans="1:42" ht="48.75" customHeight="1" x14ac:dyDescent="0.25"/>
    <row r="192" spans="1:42" ht="45.75" customHeight="1" x14ac:dyDescent="0.25"/>
  </sheetData>
  <mergeCells count="47">
    <mergeCell ref="B1:U1"/>
    <mergeCell ref="B2:J2"/>
    <mergeCell ref="B4:J4"/>
    <mergeCell ref="B6:U6"/>
    <mergeCell ref="K39:L39"/>
    <mergeCell ref="P8:U9"/>
    <mergeCell ref="B7:F7"/>
    <mergeCell ref="B8:D8"/>
    <mergeCell ref="E8:E9"/>
    <mergeCell ref="F8:F9"/>
    <mergeCell ref="G8:G9"/>
    <mergeCell ref="H8:H9"/>
    <mergeCell ref="I8:I9"/>
    <mergeCell ref="J8:J9"/>
    <mergeCell ref="K8:N8"/>
    <mergeCell ref="O8:O9"/>
    <mergeCell ref="P10:U10"/>
    <mergeCell ref="B12:F12"/>
    <mergeCell ref="B13:D13"/>
    <mergeCell ref="E13:F14"/>
    <mergeCell ref="G13:J13"/>
    <mergeCell ref="K13:N13"/>
    <mergeCell ref="O13:O14"/>
    <mergeCell ref="P13:U13"/>
    <mergeCell ref="E15:F15"/>
    <mergeCell ref="E16:F16"/>
    <mergeCell ref="E17:F17"/>
    <mergeCell ref="B21:F21"/>
    <mergeCell ref="B22:D22"/>
    <mergeCell ref="E22:E23"/>
    <mergeCell ref="F22:F23"/>
    <mergeCell ref="E32:F32"/>
    <mergeCell ref="P22:U23"/>
    <mergeCell ref="P24:U24"/>
    <mergeCell ref="B29:F29"/>
    <mergeCell ref="B30:D30"/>
    <mergeCell ref="E30:F31"/>
    <mergeCell ref="G30:J30"/>
    <mergeCell ref="K30:N30"/>
    <mergeCell ref="O30:O31"/>
    <mergeCell ref="P30:U30"/>
    <mergeCell ref="G22:G23"/>
    <mergeCell ref="H22:H23"/>
    <mergeCell ref="I22:I23"/>
    <mergeCell ref="J22:J23"/>
    <mergeCell ref="K22:N22"/>
    <mergeCell ref="O22:O23"/>
  </mergeCells>
  <pageMargins left="0.39370078740157483" right="0.19685039370078741" top="0.47244094488188981" bottom="0.59055118110236227" header="0.31496062992125984" footer="0.31496062992125984"/>
  <pageSetup paperSize="163" scale="60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97"/>
  <sheetViews>
    <sheetView topLeftCell="B16" zoomScale="50" zoomScaleNormal="50" workbookViewId="0">
      <selection activeCell="D57" sqref="A57:XFD57"/>
    </sheetView>
  </sheetViews>
  <sheetFormatPr baseColWidth="10" defaultRowHeight="15" x14ac:dyDescent="0.25"/>
  <cols>
    <col min="1" max="1" width="2.85546875" customWidth="1"/>
    <col min="2" max="2" width="4.42578125" customWidth="1"/>
    <col min="3" max="3" width="12.42578125" customWidth="1"/>
    <col min="4" max="4" width="4.7109375" customWidth="1"/>
    <col min="5" max="5" width="18.85546875" customWidth="1"/>
    <col min="6" max="6" width="22" customWidth="1"/>
    <col min="7" max="7" width="25" customWidth="1"/>
    <col min="8" max="8" width="16.140625" customWidth="1"/>
    <col min="9" max="9" width="17" customWidth="1"/>
    <col min="10" max="11" width="17.5703125" customWidth="1"/>
    <col min="12" max="12" width="15.42578125" customWidth="1"/>
    <col min="13" max="13" width="20.140625" customWidth="1"/>
    <col min="14" max="14" width="17.28515625" customWidth="1"/>
    <col min="15" max="15" width="19.85546875" customWidth="1"/>
    <col min="16" max="16" width="4.28515625" customWidth="1"/>
    <col min="17" max="17" width="7.5703125" customWidth="1"/>
    <col min="18" max="18" width="4.85546875" customWidth="1"/>
    <col min="19" max="19" width="4.5703125" customWidth="1"/>
    <col min="20" max="20" width="4.28515625" customWidth="1"/>
    <col min="21" max="21" width="4.140625" customWidth="1"/>
    <col min="23" max="23" width="12.28515625" bestFit="1" customWidth="1"/>
    <col min="24" max="24" width="11.5703125" bestFit="1" customWidth="1"/>
    <col min="25" max="25" width="21.140625" customWidth="1"/>
    <col min="26" max="26" width="13.7109375" bestFit="1" customWidth="1"/>
  </cols>
  <sheetData>
    <row r="1" spans="1:22" ht="14.25" customHeight="1" x14ac:dyDescent="0.25">
      <c r="A1" s="1"/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</row>
    <row r="2" spans="1:22" s="6" customFormat="1" ht="21.75" customHeight="1" x14ac:dyDescent="0.3">
      <c r="B2" s="359" t="s">
        <v>245</v>
      </c>
      <c r="C2" s="359"/>
      <c r="D2" s="359"/>
      <c r="E2" s="359"/>
      <c r="F2" s="359"/>
      <c r="G2" s="359"/>
      <c r="H2" s="359"/>
      <c r="I2" s="359"/>
      <c r="J2" s="359"/>
      <c r="K2" s="36"/>
      <c r="L2" s="36"/>
      <c r="M2" s="37"/>
      <c r="N2" s="36"/>
      <c r="O2" s="36"/>
    </row>
    <row r="3" spans="1:22" s="6" customFormat="1" ht="21.75" customHeight="1" x14ac:dyDescent="0.3">
      <c r="B3" s="246"/>
      <c r="C3" s="246"/>
      <c r="D3" s="246"/>
      <c r="E3" s="246"/>
      <c r="F3" s="246"/>
      <c r="G3" s="246"/>
      <c r="H3" s="246"/>
      <c r="I3" s="246"/>
      <c r="J3" s="246"/>
      <c r="K3" s="36"/>
      <c r="L3" s="36"/>
      <c r="M3" s="37"/>
      <c r="N3" s="36"/>
      <c r="O3" s="36"/>
    </row>
    <row r="4" spans="1:22" s="6" customFormat="1" ht="18.75" customHeight="1" x14ac:dyDescent="0.3">
      <c r="B4" s="359" t="s">
        <v>76</v>
      </c>
      <c r="C4" s="359"/>
      <c r="D4" s="359"/>
      <c r="E4" s="359"/>
      <c r="F4" s="359"/>
      <c r="G4" s="359"/>
      <c r="H4" s="359"/>
      <c r="I4" s="359"/>
      <c r="J4" s="359"/>
      <c r="K4" s="36"/>
      <c r="L4" s="36"/>
      <c r="M4" s="36"/>
      <c r="N4" s="36"/>
      <c r="O4" s="36"/>
    </row>
    <row r="5" spans="1:22" s="6" customFormat="1" ht="18.75" customHeight="1" x14ac:dyDescent="0.3">
      <c r="B5" s="246"/>
      <c r="C5" s="246"/>
      <c r="D5" s="246"/>
      <c r="E5" s="246"/>
      <c r="F5" s="246"/>
      <c r="G5" s="246"/>
      <c r="H5" s="246"/>
      <c r="I5" s="246"/>
      <c r="J5" s="246"/>
      <c r="K5" s="36"/>
      <c r="L5" s="36"/>
      <c r="M5" s="36"/>
      <c r="N5" s="36"/>
      <c r="O5" s="36"/>
    </row>
    <row r="6" spans="1:22" s="6" customFormat="1" ht="42" customHeight="1" x14ac:dyDescent="0.3">
      <c r="B6" s="360" t="s">
        <v>75</v>
      </c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</row>
    <row r="7" spans="1:22" s="7" customFormat="1" ht="18" thickBot="1" x14ac:dyDescent="0.35">
      <c r="B7" s="295" t="s">
        <v>77</v>
      </c>
      <c r="C7" s="295"/>
      <c r="D7" s="295"/>
      <c r="E7" s="295"/>
      <c r="F7" s="295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</row>
    <row r="8" spans="1:22" s="5" customFormat="1" ht="16.5" customHeight="1" thickTop="1" thickBot="1" x14ac:dyDescent="0.3">
      <c r="A8" s="7"/>
      <c r="B8" s="296" t="s">
        <v>0</v>
      </c>
      <c r="C8" s="296"/>
      <c r="D8" s="296"/>
      <c r="E8" s="296" t="s">
        <v>1</v>
      </c>
      <c r="F8" s="296" t="s">
        <v>2</v>
      </c>
      <c r="G8" s="319" t="s">
        <v>3</v>
      </c>
      <c r="H8" s="319" t="s">
        <v>4</v>
      </c>
      <c r="I8" s="319" t="s">
        <v>5</v>
      </c>
      <c r="J8" s="319" t="s">
        <v>6</v>
      </c>
      <c r="K8" s="319" t="s">
        <v>7</v>
      </c>
      <c r="L8" s="319"/>
      <c r="M8" s="319"/>
      <c r="N8" s="319"/>
      <c r="O8" s="296" t="s">
        <v>8</v>
      </c>
      <c r="P8" s="296" t="s">
        <v>9</v>
      </c>
      <c r="Q8" s="296"/>
      <c r="R8" s="296"/>
      <c r="S8" s="296"/>
      <c r="T8" s="296"/>
      <c r="U8" s="296"/>
    </row>
    <row r="9" spans="1:22" s="5" customFormat="1" ht="43.5" customHeight="1" thickTop="1" thickBot="1" x14ac:dyDescent="0.3">
      <c r="A9" s="7"/>
      <c r="B9" s="234" t="s">
        <v>10</v>
      </c>
      <c r="C9" s="234" t="s">
        <v>11</v>
      </c>
      <c r="D9" s="234" t="s">
        <v>12</v>
      </c>
      <c r="E9" s="296"/>
      <c r="F9" s="296"/>
      <c r="G9" s="319"/>
      <c r="H9" s="319"/>
      <c r="I9" s="319"/>
      <c r="J9" s="319"/>
      <c r="K9" s="12" t="s">
        <v>13</v>
      </c>
      <c r="L9" s="12" t="s">
        <v>14</v>
      </c>
      <c r="M9" s="12" t="s">
        <v>116</v>
      </c>
      <c r="N9" s="12" t="s">
        <v>15</v>
      </c>
      <c r="O9" s="296"/>
      <c r="P9" s="296"/>
      <c r="Q9" s="296"/>
      <c r="R9" s="296"/>
      <c r="S9" s="296"/>
      <c r="T9" s="296"/>
      <c r="U9" s="296"/>
    </row>
    <row r="10" spans="1:22" s="7" customFormat="1" ht="187.5" customHeight="1" thickTop="1" thickBot="1" x14ac:dyDescent="0.3">
      <c r="B10" s="235" t="s">
        <v>79</v>
      </c>
      <c r="C10" s="235" t="s">
        <v>80</v>
      </c>
      <c r="D10" s="235">
        <v>6</v>
      </c>
      <c r="E10" s="76" t="s">
        <v>121</v>
      </c>
      <c r="F10" s="239" t="s">
        <v>57</v>
      </c>
      <c r="G10" s="235" t="s">
        <v>58</v>
      </c>
      <c r="H10" s="235" t="s">
        <v>59</v>
      </c>
      <c r="I10" s="235">
        <v>25345</v>
      </c>
      <c r="J10" s="235">
        <f>SUM(K10:N10)</f>
        <v>11910</v>
      </c>
      <c r="K10" s="247">
        <v>3000</v>
      </c>
      <c r="L10" s="247">
        <v>3500</v>
      </c>
      <c r="M10" s="247">
        <v>3500</v>
      </c>
      <c r="N10" s="45">
        <v>1910</v>
      </c>
      <c r="O10" s="50">
        <f>SUM(J15:J17)</f>
        <v>595500000</v>
      </c>
      <c r="P10" s="328" t="s">
        <v>238</v>
      </c>
      <c r="Q10" s="328"/>
      <c r="R10" s="328"/>
      <c r="S10" s="328"/>
      <c r="T10" s="328"/>
      <c r="U10" s="328"/>
    </row>
    <row r="11" spans="1:22" s="7" customFormat="1" x14ac:dyDescent="0.25"/>
    <row r="12" spans="1:22" s="7" customFormat="1" ht="21" customHeight="1" thickBot="1" x14ac:dyDescent="0.35">
      <c r="B12" s="295" t="s">
        <v>78</v>
      </c>
      <c r="C12" s="295"/>
      <c r="D12" s="295"/>
      <c r="E12" s="295"/>
      <c r="F12" s="295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</row>
    <row r="13" spans="1:22" s="5" customFormat="1" ht="39" customHeight="1" thickTop="1" thickBot="1" x14ac:dyDescent="0.3">
      <c r="A13" s="7"/>
      <c r="B13" s="296" t="s">
        <v>0</v>
      </c>
      <c r="C13" s="296"/>
      <c r="D13" s="296"/>
      <c r="E13" s="296" t="s">
        <v>19</v>
      </c>
      <c r="F13" s="296"/>
      <c r="G13" s="319" t="s">
        <v>20</v>
      </c>
      <c r="H13" s="319"/>
      <c r="I13" s="319"/>
      <c r="J13" s="319"/>
      <c r="K13" s="319" t="s">
        <v>21</v>
      </c>
      <c r="L13" s="319"/>
      <c r="M13" s="319"/>
      <c r="N13" s="319"/>
      <c r="O13" s="296" t="s">
        <v>22</v>
      </c>
      <c r="P13" s="319" t="s">
        <v>23</v>
      </c>
      <c r="Q13" s="319"/>
      <c r="R13" s="319"/>
      <c r="S13" s="319"/>
      <c r="T13" s="319"/>
      <c r="U13" s="319"/>
    </row>
    <row r="14" spans="1:22" s="5" customFormat="1" ht="57" customHeight="1" thickTop="1" thickBot="1" x14ac:dyDescent="0.3">
      <c r="A14" s="7"/>
      <c r="B14" s="234" t="s">
        <v>10</v>
      </c>
      <c r="C14" s="234" t="s">
        <v>11</v>
      </c>
      <c r="D14" s="234" t="s">
        <v>12</v>
      </c>
      <c r="E14" s="296"/>
      <c r="F14" s="296"/>
      <c r="G14" s="12" t="s">
        <v>36</v>
      </c>
      <c r="H14" s="12" t="s">
        <v>24</v>
      </c>
      <c r="I14" s="12" t="s">
        <v>25</v>
      </c>
      <c r="J14" s="12" t="s">
        <v>26</v>
      </c>
      <c r="K14" s="12" t="s">
        <v>13</v>
      </c>
      <c r="L14" s="12" t="s">
        <v>14</v>
      </c>
      <c r="M14" s="12" t="s">
        <v>116</v>
      </c>
      <c r="N14" s="12" t="s">
        <v>15</v>
      </c>
      <c r="O14" s="296"/>
      <c r="P14" s="13" t="s">
        <v>27</v>
      </c>
      <c r="Q14" s="13" t="s">
        <v>28</v>
      </c>
      <c r="R14" s="13" t="s">
        <v>29</v>
      </c>
      <c r="S14" s="13" t="s">
        <v>30</v>
      </c>
      <c r="T14" s="13" t="s">
        <v>31</v>
      </c>
      <c r="U14" s="13" t="s">
        <v>32</v>
      </c>
    </row>
    <row r="15" spans="1:22" s="7" customFormat="1" ht="132.75" customHeight="1" thickTop="1" thickBot="1" x14ac:dyDescent="0.3">
      <c r="B15" s="235" t="s">
        <v>79</v>
      </c>
      <c r="C15" s="235" t="s">
        <v>80</v>
      </c>
      <c r="D15" s="235">
        <v>6</v>
      </c>
      <c r="E15" s="291" t="s">
        <v>124</v>
      </c>
      <c r="F15" s="291"/>
      <c r="G15" s="198" t="s">
        <v>260</v>
      </c>
      <c r="H15" s="235">
        <v>9010</v>
      </c>
      <c r="I15" s="46">
        <v>50000</v>
      </c>
      <c r="J15" s="96">
        <f>+H15*I15</f>
        <v>450500000</v>
      </c>
      <c r="K15" s="50">
        <f>+I15*H15/4</f>
        <v>112625000</v>
      </c>
      <c r="L15" s="50">
        <f>+K15</f>
        <v>112625000</v>
      </c>
      <c r="M15" s="50">
        <f>+L15</f>
        <v>112625000</v>
      </c>
      <c r="N15" s="50">
        <f>+M15</f>
        <v>112625000</v>
      </c>
      <c r="O15" s="235" t="s">
        <v>42</v>
      </c>
      <c r="P15" s="235">
        <v>98</v>
      </c>
      <c r="Q15" s="60">
        <v>2071</v>
      </c>
      <c r="R15" s="235">
        <v>4</v>
      </c>
      <c r="S15" s="235">
        <v>1</v>
      </c>
      <c r="T15" s="235">
        <v>4</v>
      </c>
      <c r="U15" s="235">
        <v>1</v>
      </c>
      <c r="V15" s="15"/>
    </row>
    <row r="16" spans="1:22" s="7" customFormat="1" ht="90" customHeight="1" thickTop="1" thickBot="1" x14ac:dyDescent="0.3">
      <c r="B16" s="232" t="s">
        <v>79</v>
      </c>
      <c r="C16" s="232" t="s">
        <v>80</v>
      </c>
      <c r="D16" s="232">
        <v>6</v>
      </c>
      <c r="E16" s="299" t="s">
        <v>122</v>
      </c>
      <c r="F16" s="299"/>
      <c r="G16" s="130" t="s">
        <v>260</v>
      </c>
      <c r="H16" s="232">
        <v>900</v>
      </c>
      <c r="I16" s="96">
        <v>50000</v>
      </c>
      <c r="J16" s="96">
        <f t="shared" ref="J16:J17" si="0">+H16*I16</f>
        <v>45000000</v>
      </c>
      <c r="K16" s="97">
        <v>0</v>
      </c>
      <c r="L16" s="97">
        <f>+I16*H16/3</f>
        <v>15000000</v>
      </c>
      <c r="M16" s="97">
        <f>+L16</f>
        <v>15000000</v>
      </c>
      <c r="N16" s="97">
        <f>+M16</f>
        <v>15000000</v>
      </c>
      <c r="O16" s="232" t="s">
        <v>42</v>
      </c>
      <c r="P16" s="235">
        <v>98</v>
      </c>
      <c r="Q16" s="60">
        <v>2071</v>
      </c>
      <c r="R16" s="235">
        <v>4</v>
      </c>
      <c r="S16" s="235">
        <v>1</v>
      </c>
      <c r="T16" s="235">
        <v>4</v>
      </c>
      <c r="U16" s="235">
        <v>1</v>
      </c>
      <c r="V16" s="15"/>
    </row>
    <row r="17" spans="1:22" s="121" customFormat="1" ht="118.5" customHeight="1" thickTop="1" thickBot="1" x14ac:dyDescent="0.3">
      <c r="A17" s="7"/>
      <c r="B17" s="232" t="s">
        <v>79</v>
      </c>
      <c r="C17" s="232" t="s">
        <v>80</v>
      </c>
      <c r="D17" s="232">
        <v>6</v>
      </c>
      <c r="E17" s="330" t="s">
        <v>123</v>
      </c>
      <c r="F17" s="324"/>
      <c r="G17" s="130" t="s">
        <v>261</v>
      </c>
      <c r="H17" s="232">
        <v>2000</v>
      </c>
      <c r="I17" s="96">
        <v>50000</v>
      </c>
      <c r="J17" s="96">
        <f t="shared" si="0"/>
        <v>100000000</v>
      </c>
      <c r="K17" s="97">
        <f>+I17*H17/2</f>
        <v>50000000</v>
      </c>
      <c r="L17" s="97">
        <f>+K17</f>
        <v>50000000</v>
      </c>
      <c r="M17" s="97"/>
      <c r="N17" s="97"/>
      <c r="O17" s="232" t="s">
        <v>42</v>
      </c>
      <c r="P17" s="235">
        <v>98</v>
      </c>
      <c r="Q17" s="60">
        <v>2071</v>
      </c>
      <c r="R17" s="235">
        <v>4</v>
      </c>
      <c r="S17" s="235">
        <v>1</v>
      </c>
      <c r="T17" s="235">
        <v>4</v>
      </c>
      <c r="U17" s="235">
        <v>1</v>
      </c>
      <c r="V17" s="15"/>
    </row>
    <row r="18" spans="1:22" s="7" customFormat="1" x14ac:dyDescent="0.25">
      <c r="B18" s="78"/>
      <c r="C18" s="78"/>
      <c r="D18" s="78"/>
      <c r="E18" s="78"/>
      <c r="F18" s="78"/>
      <c r="G18" s="78"/>
      <c r="H18" s="78"/>
      <c r="I18" s="78"/>
      <c r="J18" s="79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</row>
    <row r="19" spans="1:22" s="7" customFormat="1" ht="23.25" customHeight="1" x14ac:dyDescent="0.25"/>
    <row r="20" spans="1:22" s="7" customFormat="1" ht="18" thickBot="1" x14ac:dyDescent="0.35">
      <c r="B20" s="295" t="s">
        <v>77</v>
      </c>
      <c r="C20" s="295"/>
      <c r="D20" s="295"/>
      <c r="E20" s="295"/>
      <c r="F20" s="295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</row>
    <row r="21" spans="1:22" s="7" customFormat="1" ht="16.5" thickTop="1" thickBot="1" x14ac:dyDescent="0.3">
      <c r="B21" s="296" t="s">
        <v>0</v>
      </c>
      <c r="C21" s="296"/>
      <c r="D21" s="296"/>
      <c r="E21" s="296" t="s">
        <v>1</v>
      </c>
      <c r="F21" s="296" t="s">
        <v>2</v>
      </c>
      <c r="G21" s="319" t="s">
        <v>3</v>
      </c>
      <c r="H21" s="319" t="s">
        <v>4</v>
      </c>
      <c r="I21" s="319" t="s">
        <v>5</v>
      </c>
      <c r="J21" s="319" t="s">
        <v>6</v>
      </c>
      <c r="K21" s="319" t="s">
        <v>7</v>
      </c>
      <c r="L21" s="319"/>
      <c r="M21" s="319"/>
      <c r="N21" s="319"/>
      <c r="O21" s="296" t="s">
        <v>8</v>
      </c>
      <c r="P21" s="296" t="s">
        <v>9</v>
      </c>
      <c r="Q21" s="296"/>
      <c r="R21" s="296"/>
      <c r="S21" s="296"/>
      <c r="T21" s="296"/>
      <c r="U21" s="296"/>
    </row>
    <row r="22" spans="1:22" s="7" customFormat="1" ht="18" customHeight="1" thickTop="1" thickBot="1" x14ac:dyDescent="0.3">
      <c r="B22" s="234" t="s">
        <v>10</v>
      </c>
      <c r="C22" s="234" t="s">
        <v>11</v>
      </c>
      <c r="D22" s="234" t="s">
        <v>12</v>
      </c>
      <c r="E22" s="296"/>
      <c r="F22" s="296"/>
      <c r="G22" s="319"/>
      <c r="H22" s="319"/>
      <c r="I22" s="319"/>
      <c r="J22" s="319"/>
      <c r="K22" s="12" t="s">
        <v>13</v>
      </c>
      <c r="L22" s="12" t="s">
        <v>14</v>
      </c>
      <c r="M22" s="12" t="s">
        <v>116</v>
      </c>
      <c r="N22" s="12" t="s">
        <v>15</v>
      </c>
      <c r="O22" s="296"/>
      <c r="P22" s="296"/>
      <c r="Q22" s="296"/>
      <c r="R22" s="296"/>
      <c r="S22" s="296"/>
      <c r="T22" s="296"/>
      <c r="U22" s="296"/>
    </row>
    <row r="23" spans="1:22" s="7" customFormat="1" ht="293.25" customHeight="1" thickTop="1" thickBot="1" x14ac:dyDescent="0.3">
      <c r="B23" s="235" t="s">
        <v>79</v>
      </c>
      <c r="C23" s="235" t="s">
        <v>80</v>
      </c>
      <c r="D23" s="235">
        <v>6</v>
      </c>
      <c r="E23" s="76" t="s">
        <v>125</v>
      </c>
      <c r="F23" s="239" t="s">
        <v>60</v>
      </c>
      <c r="G23" s="235" t="s">
        <v>17</v>
      </c>
      <c r="H23" s="235" t="s">
        <v>61</v>
      </c>
      <c r="I23" s="80">
        <v>53971</v>
      </c>
      <c r="J23" s="235">
        <f>SUM(K23:N23)</f>
        <v>3000</v>
      </c>
      <c r="K23" s="247">
        <v>750</v>
      </c>
      <c r="L23" s="247">
        <v>750</v>
      </c>
      <c r="M23" s="247">
        <v>750</v>
      </c>
      <c r="N23" s="247">
        <v>750</v>
      </c>
      <c r="O23" s="46">
        <f>SUM(J28:J30)</f>
        <v>26382226.899999999</v>
      </c>
      <c r="P23" s="316" t="s">
        <v>126</v>
      </c>
      <c r="Q23" s="317"/>
      <c r="R23" s="317"/>
      <c r="S23" s="317"/>
      <c r="T23" s="317"/>
      <c r="U23" s="318"/>
    </row>
    <row r="24" spans="1:22" s="7" customFormat="1" ht="41.25" customHeight="1" x14ac:dyDescent="0.25"/>
    <row r="25" spans="1:22" s="7" customFormat="1" ht="18" thickBot="1" x14ac:dyDescent="0.35">
      <c r="B25" s="295" t="s">
        <v>78</v>
      </c>
      <c r="C25" s="295"/>
      <c r="D25" s="295"/>
      <c r="E25" s="295"/>
      <c r="F25" s="295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</row>
    <row r="26" spans="1:22" s="7" customFormat="1" ht="29.25" customHeight="1" thickTop="1" thickBot="1" x14ac:dyDescent="0.3">
      <c r="B26" s="296" t="s">
        <v>0</v>
      </c>
      <c r="C26" s="296"/>
      <c r="D26" s="296"/>
      <c r="E26" s="296" t="s">
        <v>19</v>
      </c>
      <c r="F26" s="296"/>
      <c r="G26" s="319" t="s">
        <v>20</v>
      </c>
      <c r="H26" s="319"/>
      <c r="I26" s="319"/>
      <c r="J26" s="319"/>
      <c r="K26" s="319" t="s">
        <v>21</v>
      </c>
      <c r="L26" s="319"/>
      <c r="M26" s="319"/>
      <c r="N26" s="319"/>
      <c r="O26" s="296" t="s">
        <v>22</v>
      </c>
      <c r="P26" s="319" t="s">
        <v>23</v>
      </c>
      <c r="Q26" s="319"/>
      <c r="R26" s="319"/>
      <c r="S26" s="319"/>
      <c r="T26" s="319"/>
      <c r="U26" s="319"/>
    </row>
    <row r="27" spans="1:22" s="7" customFormat="1" ht="45.75" customHeight="1" thickTop="1" thickBot="1" x14ac:dyDescent="0.3">
      <c r="B27" s="234" t="s">
        <v>10</v>
      </c>
      <c r="C27" s="234" t="s">
        <v>11</v>
      </c>
      <c r="D27" s="234" t="s">
        <v>12</v>
      </c>
      <c r="E27" s="296"/>
      <c r="F27" s="296"/>
      <c r="G27" s="12" t="s">
        <v>36</v>
      </c>
      <c r="H27" s="12" t="s">
        <v>24</v>
      </c>
      <c r="I27" s="12" t="s">
        <v>25</v>
      </c>
      <c r="J27" s="12" t="s">
        <v>26</v>
      </c>
      <c r="K27" s="12" t="s">
        <v>13</v>
      </c>
      <c r="L27" s="12" t="s">
        <v>14</v>
      </c>
      <c r="M27" s="12" t="s">
        <v>116</v>
      </c>
      <c r="N27" s="12" t="s">
        <v>15</v>
      </c>
      <c r="O27" s="296"/>
      <c r="P27" s="13" t="s">
        <v>27</v>
      </c>
      <c r="Q27" s="13" t="s">
        <v>28</v>
      </c>
      <c r="R27" s="13" t="s">
        <v>29</v>
      </c>
      <c r="S27" s="13" t="s">
        <v>30</v>
      </c>
      <c r="T27" s="13" t="s">
        <v>31</v>
      </c>
      <c r="U27" s="13" t="s">
        <v>32</v>
      </c>
    </row>
    <row r="28" spans="1:22" s="7" customFormat="1" ht="77.25" customHeight="1" thickTop="1" thickBot="1" x14ac:dyDescent="0.3">
      <c r="B28" s="321" t="s">
        <v>79</v>
      </c>
      <c r="C28" s="321" t="s">
        <v>80</v>
      </c>
      <c r="D28" s="321">
        <v>6</v>
      </c>
      <c r="E28" s="291" t="s">
        <v>127</v>
      </c>
      <c r="F28" s="291"/>
      <c r="G28" s="109" t="s">
        <v>251</v>
      </c>
      <c r="H28" s="235">
        <f>3000+110</f>
        <v>3110</v>
      </c>
      <c r="I28" s="46">
        <v>8363.2099999999991</v>
      </c>
      <c r="J28" s="46">
        <f>+H28*I28</f>
        <v>26009583.099999998</v>
      </c>
      <c r="K28" s="50">
        <f>+J28/4</f>
        <v>6502395.7749999994</v>
      </c>
      <c r="L28" s="50">
        <f t="shared" ref="L28:N28" si="1">+K28</f>
        <v>6502395.7749999994</v>
      </c>
      <c r="M28" s="50">
        <f t="shared" si="1"/>
        <v>6502395.7749999994</v>
      </c>
      <c r="N28" s="50">
        <f t="shared" si="1"/>
        <v>6502395.7749999994</v>
      </c>
      <c r="O28" s="235" t="s">
        <v>42</v>
      </c>
      <c r="P28" s="235">
        <v>98</v>
      </c>
      <c r="Q28" s="60">
        <v>2071</v>
      </c>
      <c r="R28" s="235">
        <v>4</v>
      </c>
      <c r="S28" s="235">
        <v>1</v>
      </c>
      <c r="T28" s="235">
        <v>4</v>
      </c>
      <c r="U28" s="81">
        <v>1</v>
      </c>
    </row>
    <row r="29" spans="1:22" s="7" customFormat="1" ht="51" customHeight="1" thickTop="1" thickBot="1" x14ac:dyDescent="0.3">
      <c r="B29" s="304"/>
      <c r="C29" s="304"/>
      <c r="D29" s="304"/>
      <c r="E29" s="299"/>
      <c r="F29" s="299"/>
      <c r="G29" s="110" t="s">
        <v>243</v>
      </c>
      <c r="H29" s="232">
        <f>20</f>
        <v>20</v>
      </c>
      <c r="I29" s="96">
        <v>10032.19</v>
      </c>
      <c r="J29" s="106">
        <f>SUM(K29:N29)</f>
        <v>200643.80000000002</v>
      </c>
      <c r="K29" s="96">
        <f>+I29*H29/4</f>
        <v>50160.950000000004</v>
      </c>
      <c r="L29" s="96">
        <f>+K29</f>
        <v>50160.950000000004</v>
      </c>
      <c r="M29" s="96">
        <f>+L29</f>
        <v>50160.950000000004</v>
      </c>
      <c r="N29" s="96">
        <f>+M29</f>
        <v>50160.950000000004</v>
      </c>
      <c r="O29" s="232" t="s">
        <v>42</v>
      </c>
      <c r="P29" s="235">
        <v>98</v>
      </c>
      <c r="Q29" s="60">
        <v>2071</v>
      </c>
      <c r="R29" s="248">
        <v>2</v>
      </c>
      <c r="S29" s="248">
        <v>3</v>
      </c>
      <c r="T29" s="248">
        <v>1</v>
      </c>
      <c r="U29" s="189"/>
    </row>
    <row r="30" spans="1:22" s="7" customFormat="1" ht="81" customHeight="1" thickTop="1" thickBot="1" x14ac:dyDescent="0.3">
      <c r="B30" s="305"/>
      <c r="C30" s="305"/>
      <c r="D30" s="305"/>
      <c r="E30" s="299"/>
      <c r="F30" s="299"/>
      <c r="G30" s="110" t="s">
        <v>242</v>
      </c>
      <c r="H30" s="232">
        <v>4</v>
      </c>
      <c r="I30" s="96">
        <v>43000</v>
      </c>
      <c r="J30" s="96">
        <f>+H30*I30</f>
        <v>172000</v>
      </c>
      <c r="K30" s="96">
        <v>0</v>
      </c>
      <c r="L30" s="96">
        <f>+H30*I30</f>
        <v>172000</v>
      </c>
      <c r="M30" s="96"/>
      <c r="N30" s="96"/>
      <c r="O30" s="232" t="s">
        <v>42</v>
      </c>
      <c r="P30" s="235">
        <v>98</v>
      </c>
      <c r="Q30" s="60">
        <v>2071</v>
      </c>
      <c r="R30" s="232">
        <v>2</v>
      </c>
      <c r="S30" s="232">
        <v>3</v>
      </c>
      <c r="T30" s="232">
        <v>2</v>
      </c>
      <c r="U30" s="143"/>
    </row>
    <row r="31" spans="1:22" s="7" customFormat="1" x14ac:dyDescent="0.25">
      <c r="B31" s="18"/>
      <c r="C31" s="18"/>
      <c r="D31" s="18"/>
      <c r="E31" s="18"/>
      <c r="F31" s="18"/>
      <c r="G31" s="18"/>
      <c r="H31" s="18"/>
      <c r="I31" s="18"/>
      <c r="J31" s="144"/>
      <c r="K31" s="145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1:22" s="7" customFormat="1" x14ac:dyDescent="0.25">
      <c r="B32" s="18"/>
      <c r="C32" s="18"/>
      <c r="D32" s="18"/>
      <c r="E32" s="18"/>
      <c r="F32" s="18"/>
      <c r="G32" s="18"/>
      <c r="H32" s="18"/>
      <c r="I32" s="18"/>
      <c r="J32" s="144"/>
      <c r="K32" s="145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2:21" s="7" customFormat="1" x14ac:dyDescent="0.25">
      <c r="B33" s="18"/>
      <c r="C33" s="18"/>
      <c r="D33" s="18"/>
      <c r="E33" s="18"/>
      <c r="F33" s="18"/>
      <c r="G33" s="18"/>
      <c r="H33" s="18"/>
      <c r="I33" s="18"/>
      <c r="J33" s="144"/>
      <c r="K33" s="145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2:21" s="7" customFormat="1" x14ac:dyDescent="0.25">
      <c r="B34" s="18"/>
      <c r="C34" s="18"/>
      <c r="D34" s="18"/>
      <c r="E34" s="18"/>
      <c r="F34" s="18"/>
      <c r="G34" s="18"/>
      <c r="H34" s="18"/>
      <c r="I34" s="18"/>
      <c r="J34" s="144"/>
      <c r="K34" s="145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2:21" s="7" customFormat="1" x14ac:dyDescent="0.25">
      <c r="B35" s="18"/>
      <c r="C35" s="18"/>
      <c r="D35" s="18"/>
      <c r="E35" s="18"/>
      <c r="F35" s="18"/>
      <c r="G35" s="18"/>
      <c r="H35" s="18"/>
      <c r="I35" s="18"/>
      <c r="J35" s="144"/>
      <c r="K35" s="145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2:21" s="7" customFormat="1" x14ac:dyDescent="0.25">
      <c r="B36" s="18"/>
      <c r="C36" s="18"/>
      <c r="D36" s="18"/>
      <c r="E36" s="18"/>
      <c r="F36" s="18"/>
      <c r="G36" s="18"/>
      <c r="H36" s="18"/>
      <c r="I36" s="18"/>
      <c r="J36" s="144"/>
      <c r="K36" s="145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2:21" s="7" customFormat="1" x14ac:dyDescent="0.25">
      <c r="B37" s="18"/>
      <c r="C37" s="18"/>
      <c r="D37" s="18"/>
      <c r="E37" s="18"/>
      <c r="F37" s="18"/>
      <c r="G37" s="18"/>
      <c r="H37" s="18"/>
      <c r="I37" s="18"/>
      <c r="J37" s="144"/>
      <c r="K37" s="145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2:21" s="7" customFormat="1" x14ac:dyDescent="0.25">
      <c r="B38" s="18"/>
      <c r="C38" s="18"/>
      <c r="D38" s="18"/>
      <c r="E38" s="18"/>
      <c r="F38" s="18"/>
      <c r="G38" s="18"/>
      <c r="H38" s="18"/>
      <c r="I38" s="18"/>
      <c r="J38" s="144"/>
      <c r="K38" s="145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2:21" s="7" customFormat="1" ht="23.25" customHeight="1" x14ac:dyDescent="0.25">
      <c r="B39" s="18"/>
      <c r="C39" s="18"/>
      <c r="D39" s="18"/>
      <c r="E39" s="18"/>
      <c r="F39" s="18"/>
      <c r="G39" s="18"/>
      <c r="H39" s="18"/>
      <c r="I39" s="18"/>
      <c r="J39" s="144"/>
      <c r="K39" s="145"/>
      <c r="L39" s="18"/>
      <c r="M39" s="18"/>
      <c r="N39" s="18"/>
      <c r="O39" s="18"/>
      <c r="P39" s="18"/>
      <c r="Q39" s="18"/>
      <c r="R39" s="18"/>
      <c r="S39" s="18"/>
      <c r="T39" s="18"/>
      <c r="U39" s="18"/>
    </row>
    <row r="40" spans="2:21" s="7" customFormat="1" ht="23.25" customHeight="1" x14ac:dyDescent="0.25">
      <c r="B40" s="18"/>
      <c r="C40" s="18"/>
      <c r="D40" s="18"/>
      <c r="E40" s="18"/>
      <c r="F40" s="18"/>
      <c r="G40" s="18"/>
      <c r="H40" s="18"/>
      <c r="I40" s="18"/>
      <c r="J40" s="144"/>
      <c r="K40" s="145"/>
      <c r="L40" s="18"/>
      <c r="M40" s="18"/>
      <c r="N40" s="18"/>
      <c r="O40" s="18"/>
      <c r="P40" s="18"/>
      <c r="Q40" s="18"/>
      <c r="R40" s="18"/>
      <c r="S40" s="18"/>
      <c r="T40" s="18"/>
      <c r="U40" s="18"/>
    </row>
    <row r="41" spans="2:21" s="7" customFormat="1" ht="34.5" customHeight="1" x14ac:dyDescent="0.25">
      <c r="B41" s="18"/>
      <c r="C41" s="18"/>
      <c r="D41" s="18"/>
      <c r="E41" s="18"/>
      <c r="F41" s="18"/>
      <c r="G41" s="18"/>
      <c r="H41" s="18"/>
      <c r="I41" s="18"/>
      <c r="J41" s="144"/>
      <c r="K41" s="145"/>
      <c r="L41" s="18"/>
      <c r="M41" s="18"/>
      <c r="N41" s="18"/>
      <c r="O41" s="18"/>
      <c r="P41" s="18"/>
      <c r="Q41" s="18"/>
      <c r="R41" s="18"/>
      <c r="S41" s="18"/>
      <c r="T41" s="18"/>
      <c r="U41" s="18"/>
    </row>
    <row r="42" spans="2:21" s="7" customFormat="1" ht="30.75" customHeight="1" thickBot="1" x14ac:dyDescent="0.35">
      <c r="B42" s="295" t="s">
        <v>77</v>
      </c>
      <c r="C42" s="295"/>
      <c r="D42" s="295"/>
      <c r="E42" s="295"/>
      <c r="F42" s="295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</row>
    <row r="43" spans="2:21" s="7" customFormat="1" ht="17.25" customHeight="1" thickTop="1" thickBot="1" x14ac:dyDescent="0.3">
      <c r="B43" s="296" t="s">
        <v>0</v>
      </c>
      <c r="C43" s="296"/>
      <c r="D43" s="296"/>
      <c r="E43" s="296" t="s">
        <v>1</v>
      </c>
      <c r="F43" s="296" t="s">
        <v>2</v>
      </c>
      <c r="G43" s="319" t="s">
        <v>3</v>
      </c>
      <c r="H43" s="319" t="s">
        <v>4</v>
      </c>
      <c r="I43" s="319" t="s">
        <v>5</v>
      </c>
      <c r="J43" s="319" t="s">
        <v>6</v>
      </c>
      <c r="K43" s="319" t="s">
        <v>7</v>
      </c>
      <c r="L43" s="319"/>
      <c r="M43" s="319"/>
      <c r="N43" s="319"/>
      <c r="O43" s="296" t="s">
        <v>8</v>
      </c>
      <c r="P43" s="296" t="s">
        <v>9</v>
      </c>
      <c r="Q43" s="296"/>
      <c r="R43" s="296"/>
      <c r="S43" s="296"/>
      <c r="T43" s="296"/>
      <c r="U43" s="296"/>
    </row>
    <row r="44" spans="2:21" s="7" customFormat="1" ht="47.25" customHeight="1" thickTop="1" thickBot="1" x14ac:dyDescent="0.3">
      <c r="B44" s="234" t="s">
        <v>10</v>
      </c>
      <c r="C44" s="234" t="s">
        <v>11</v>
      </c>
      <c r="D44" s="234" t="s">
        <v>12</v>
      </c>
      <c r="E44" s="296"/>
      <c r="F44" s="296"/>
      <c r="G44" s="319"/>
      <c r="H44" s="319"/>
      <c r="I44" s="319"/>
      <c r="J44" s="319"/>
      <c r="K44" s="12" t="s">
        <v>13</v>
      </c>
      <c r="L44" s="12" t="s">
        <v>14</v>
      </c>
      <c r="M44" s="12" t="s">
        <v>116</v>
      </c>
      <c r="N44" s="12" t="s">
        <v>15</v>
      </c>
      <c r="O44" s="296"/>
      <c r="P44" s="296"/>
      <c r="Q44" s="296"/>
      <c r="R44" s="296"/>
      <c r="S44" s="296"/>
      <c r="T44" s="296"/>
      <c r="U44" s="296"/>
    </row>
    <row r="45" spans="2:21" s="7" customFormat="1" ht="252.75" customHeight="1" thickTop="1" thickBot="1" x14ac:dyDescent="0.3">
      <c r="B45" s="235" t="s">
        <v>79</v>
      </c>
      <c r="C45" s="235" t="s">
        <v>80</v>
      </c>
      <c r="D45" s="235">
        <v>6</v>
      </c>
      <c r="E45" s="191" t="s">
        <v>244</v>
      </c>
      <c r="F45" s="239" t="s">
        <v>62</v>
      </c>
      <c r="G45" s="235" t="s">
        <v>51</v>
      </c>
      <c r="H45" s="235" t="s">
        <v>63</v>
      </c>
      <c r="I45" s="45">
        <v>0</v>
      </c>
      <c r="J45" s="235">
        <f>SUM(K45:N45)</f>
        <v>5000</v>
      </c>
      <c r="K45" s="247">
        <v>2220</v>
      </c>
      <c r="L45" s="247"/>
      <c r="M45" s="247">
        <v>2780</v>
      </c>
      <c r="N45" s="247"/>
      <c r="O45" s="50">
        <f>SUM(J49:J55)</f>
        <v>292845800</v>
      </c>
      <c r="P45" s="328" t="s">
        <v>236</v>
      </c>
      <c r="Q45" s="328"/>
      <c r="R45" s="328"/>
      <c r="S45" s="328"/>
      <c r="T45" s="328"/>
      <c r="U45" s="328"/>
    </row>
    <row r="46" spans="2:21" s="7" customFormat="1" ht="53.25" customHeight="1" thickBot="1" x14ac:dyDescent="0.35">
      <c r="B46" s="295" t="s">
        <v>78</v>
      </c>
      <c r="C46" s="295"/>
      <c r="D46" s="295"/>
      <c r="E46" s="295"/>
      <c r="F46" s="295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</row>
    <row r="47" spans="2:21" s="7" customFormat="1" ht="25.5" customHeight="1" thickTop="1" thickBot="1" x14ac:dyDescent="0.3">
      <c r="B47" s="296" t="s">
        <v>0</v>
      </c>
      <c r="C47" s="296"/>
      <c r="D47" s="296"/>
      <c r="E47" s="296" t="s">
        <v>19</v>
      </c>
      <c r="F47" s="296"/>
      <c r="G47" s="319" t="s">
        <v>20</v>
      </c>
      <c r="H47" s="319"/>
      <c r="I47" s="319"/>
      <c r="J47" s="319"/>
      <c r="K47" s="319" t="s">
        <v>21</v>
      </c>
      <c r="L47" s="319"/>
      <c r="M47" s="319"/>
      <c r="N47" s="319"/>
      <c r="O47" s="296" t="s">
        <v>22</v>
      </c>
      <c r="P47" s="319" t="s">
        <v>23</v>
      </c>
      <c r="Q47" s="319"/>
      <c r="R47" s="319"/>
      <c r="S47" s="319"/>
      <c r="T47" s="319"/>
      <c r="U47" s="319"/>
    </row>
    <row r="48" spans="2:21" s="7" customFormat="1" ht="46.5" customHeight="1" thickTop="1" thickBot="1" x14ac:dyDescent="0.3">
      <c r="B48" s="240" t="s">
        <v>10</v>
      </c>
      <c r="C48" s="240" t="s">
        <v>11</v>
      </c>
      <c r="D48" s="240" t="s">
        <v>12</v>
      </c>
      <c r="E48" s="329"/>
      <c r="F48" s="329"/>
      <c r="G48" s="147" t="s">
        <v>36</v>
      </c>
      <c r="H48" s="147" t="s">
        <v>24</v>
      </c>
      <c r="I48" s="147" t="s">
        <v>25</v>
      </c>
      <c r="J48" s="147" t="s">
        <v>26</v>
      </c>
      <c r="K48" s="147" t="s">
        <v>13</v>
      </c>
      <c r="L48" s="147" t="s">
        <v>14</v>
      </c>
      <c r="M48" s="147" t="s">
        <v>116</v>
      </c>
      <c r="N48" s="147" t="s">
        <v>15</v>
      </c>
      <c r="O48" s="329"/>
      <c r="P48" s="148" t="s">
        <v>27</v>
      </c>
      <c r="Q48" s="148" t="s">
        <v>28</v>
      </c>
      <c r="R48" s="148" t="s">
        <v>29</v>
      </c>
      <c r="S48" s="148" t="s">
        <v>30</v>
      </c>
      <c r="T48" s="148" t="s">
        <v>31</v>
      </c>
      <c r="U48" s="148" t="s">
        <v>32</v>
      </c>
    </row>
    <row r="49" spans="1:25" s="7" customFormat="1" ht="76.5" customHeight="1" thickBot="1" x14ac:dyDescent="0.3">
      <c r="B49" s="243" t="s">
        <v>79</v>
      </c>
      <c r="C49" s="243" t="s">
        <v>80</v>
      </c>
      <c r="D49" s="243">
        <v>6</v>
      </c>
      <c r="E49" s="327" t="s">
        <v>128</v>
      </c>
      <c r="F49" s="327"/>
      <c r="G49" s="82" t="s">
        <v>64</v>
      </c>
      <c r="H49" s="243">
        <v>5000</v>
      </c>
      <c r="I49" s="136">
        <v>54222.16</v>
      </c>
      <c r="J49" s="134">
        <f>+H49*I49</f>
        <v>271110800</v>
      </c>
      <c r="K49" s="134">
        <f>+I49*H49/2</f>
        <v>135555400</v>
      </c>
      <c r="L49" s="134"/>
      <c r="M49" s="134">
        <f>+K49</f>
        <v>135555400</v>
      </c>
      <c r="N49" s="134"/>
      <c r="O49" s="243" t="s">
        <v>42</v>
      </c>
      <c r="P49" s="243">
        <v>98</v>
      </c>
      <c r="Q49" s="243">
        <v>2071</v>
      </c>
      <c r="R49" s="243">
        <v>4</v>
      </c>
      <c r="S49" s="243">
        <v>1</v>
      </c>
      <c r="T49" s="243">
        <v>4</v>
      </c>
      <c r="U49" s="243">
        <v>1</v>
      </c>
    </row>
    <row r="50" spans="1:25" s="7" customFormat="1" ht="67.5" customHeight="1" thickBot="1" x14ac:dyDescent="0.3">
      <c r="B50" s="243" t="s">
        <v>79</v>
      </c>
      <c r="C50" s="243" t="s">
        <v>80</v>
      </c>
      <c r="D50" s="243">
        <v>7</v>
      </c>
      <c r="E50" s="327" t="s">
        <v>129</v>
      </c>
      <c r="F50" s="327"/>
      <c r="G50" s="82" t="s">
        <v>135</v>
      </c>
      <c r="H50" s="243">
        <v>10</v>
      </c>
      <c r="I50" s="136">
        <v>100000</v>
      </c>
      <c r="J50" s="134">
        <f>+H50*I50</f>
        <v>1000000</v>
      </c>
      <c r="K50" s="134"/>
      <c r="L50" s="149">
        <f>+I50*H50</f>
        <v>1000000</v>
      </c>
      <c r="M50" s="134"/>
      <c r="N50" s="134"/>
      <c r="O50" s="243" t="s">
        <v>42</v>
      </c>
      <c r="P50" s="243">
        <v>98</v>
      </c>
      <c r="Q50" s="243">
        <v>2071</v>
      </c>
      <c r="R50" s="243">
        <v>2</v>
      </c>
      <c r="S50" s="243">
        <v>2</v>
      </c>
      <c r="T50" s="243">
        <v>2</v>
      </c>
      <c r="U50" s="243"/>
    </row>
    <row r="51" spans="1:25" s="7" customFormat="1" ht="55.5" customHeight="1" thickBot="1" x14ac:dyDescent="0.3">
      <c r="B51" s="243" t="s">
        <v>79</v>
      </c>
      <c r="C51" s="243" t="s">
        <v>80</v>
      </c>
      <c r="D51" s="243">
        <v>8</v>
      </c>
      <c r="E51" s="327" t="s">
        <v>130</v>
      </c>
      <c r="F51" s="327"/>
      <c r="G51" s="82" t="s">
        <v>136</v>
      </c>
      <c r="H51" s="243">
        <v>5</v>
      </c>
      <c r="I51" s="136">
        <v>400000</v>
      </c>
      <c r="J51" s="134">
        <f t="shared" ref="J51:J55" si="2">+H51*I51</f>
        <v>2000000</v>
      </c>
      <c r="K51" s="134"/>
      <c r="L51" s="134">
        <f>+I51*H51</f>
        <v>2000000</v>
      </c>
      <c r="M51" s="134"/>
      <c r="N51" s="134"/>
      <c r="O51" s="243" t="s">
        <v>42</v>
      </c>
      <c r="P51" s="243">
        <v>98</v>
      </c>
      <c r="Q51" s="243">
        <v>2071</v>
      </c>
      <c r="R51" s="243">
        <v>2</v>
      </c>
      <c r="S51" s="243">
        <v>8</v>
      </c>
      <c r="T51" s="243">
        <v>7</v>
      </c>
      <c r="U51" s="243">
        <v>6</v>
      </c>
    </row>
    <row r="52" spans="1:25" s="7" customFormat="1" ht="32.25" customHeight="1" thickBot="1" x14ac:dyDescent="0.3">
      <c r="B52" s="243" t="s">
        <v>79</v>
      </c>
      <c r="C52" s="243" t="s">
        <v>80</v>
      </c>
      <c r="D52" s="243">
        <v>9</v>
      </c>
      <c r="E52" s="327" t="s">
        <v>131</v>
      </c>
      <c r="F52" s="327"/>
      <c r="G52" s="82" t="s">
        <v>137</v>
      </c>
      <c r="H52" s="243">
        <v>20000</v>
      </c>
      <c r="I52" s="136">
        <v>500</v>
      </c>
      <c r="J52" s="134">
        <f t="shared" si="2"/>
        <v>10000000</v>
      </c>
      <c r="K52" s="134"/>
      <c r="L52" s="134"/>
      <c r="M52" s="134">
        <f>+I52*H52</f>
        <v>10000000</v>
      </c>
      <c r="N52" s="134"/>
      <c r="O52" s="243" t="s">
        <v>42</v>
      </c>
      <c r="P52" s="243">
        <v>98</v>
      </c>
      <c r="Q52" s="243">
        <v>2071</v>
      </c>
      <c r="R52" s="243">
        <v>2</v>
      </c>
      <c r="S52" s="243">
        <v>2</v>
      </c>
      <c r="T52" s="243">
        <v>2</v>
      </c>
      <c r="U52" s="243"/>
    </row>
    <row r="53" spans="1:25" s="7" customFormat="1" ht="42.75" customHeight="1" thickBot="1" x14ac:dyDescent="0.3">
      <c r="B53" s="243" t="s">
        <v>79</v>
      </c>
      <c r="C53" s="243" t="s">
        <v>80</v>
      </c>
      <c r="D53" s="243">
        <v>10</v>
      </c>
      <c r="E53" s="327" t="s">
        <v>132</v>
      </c>
      <c r="F53" s="327"/>
      <c r="G53" s="82" t="s">
        <v>138</v>
      </c>
      <c r="H53" s="243">
        <v>15</v>
      </c>
      <c r="I53" s="136">
        <v>129000</v>
      </c>
      <c r="J53" s="230">
        <f>+H53*I53</f>
        <v>1935000</v>
      </c>
      <c r="K53" s="134"/>
      <c r="L53" s="134">
        <f>+H53*I53/3</f>
        <v>645000</v>
      </c>
      <c r="M53" s="134">
        <f>+L53</f>
        <v>645000</v>
      </c>
      <c r="N53" s="134">
        <f>+M53</f>
        <v>645000</v>
      </c>
      <c r="O53" s="243" t="s">
        <v>42</v>
      </c>
      <c r="P53" s="243">
        <v>98</v>
      </c>
      <c r="Q53" s="243">
        <v>2071</v>
      </c>
      <c r="R53" s="243">
        <v>2</v>
      </c>
      <c r="S53" s="243">
        <v>3</v>
      </c>
      <c r="T53" s="243">
        <v>2</v>
      </c>
      <c r="U53" s="243"/>
      <c r="X53" s="64"/>
      <c r="Y53" s="64"/>
    </row>
    <row r="54" spans="1:25" s="7" customFormat="1" ht="57.75" customHeight="1" thickBot="1" x14ac:dyDescent="0.3">
      <c r="B54" s="243" t="s">
        <v>79</v>
      </c>
      <c r="C54" s="243" t="s">
        <v>80</v>
      </c>
      <c r="D54" s="243">
        <v>11</v>
      </c>
      <c r="E54" s="327" t="s">
        <v>133</v>
      </c>
      <c r="F54" s="327"/>
      <c r="G54" s="82" t="s">
        <v>269</v>
      </c>
      <c r="H54" s="243">
        <v>4</v>
      </c>
      <c r="I54" s="136">
        <v>1200000</v>
      </c>
      <c r="J54" s="225">
        <f>+H54*I54</f>
        <v>4800000</v>
      </c>
      <c r="K54" s="225">
        <f>+J54/H54</f>
        <v>1200000</v>
      </c>
      <c r="L54" s="225">
        <f>+K54</f>
        <v>1200000</v>
      </c>
      <c r="M54" s="225">
        <f>+L54</f>
        <v>1200000</v>
      </c>
      <c r="N54" s="225">
        <f>+M54</f>
        <v>1200000</v>
      </c>
      <c r="O54" s="243" t="s">
        <v>42</v>
      </c>
      <c r="P54" s="243">
        <v>98</v>
      </c>
      <c r="Q54" s="243">
        <v>2071</v>
      </c>
      <c r="R54" s="243">
        <v>2</v>
      </c>
      <c r="S54" s="243">
        <v>8</v>
      </c>
      <c r="T54" s="243">
        <v>7</v>
      </c>
      <c r="U54" s="243">
        <v>6</v>
      </c>
      <c r="Y54" s="64"/>
    </row>
    <row r="55" spans="1:25" s="7" customFormat="1" ht="48.75" customHeight="1" thickBot="1" x14ac:dyDescent="0.3">
      <c r="B55" s="243" t="s">
        <v>79</v>
      </c>
      <c r="C55" s="243" t="s">
        <v>80</v>
      </c>
      <c r="D55" s="243">
        <v>12</v>
      </c>
      <c r="E55" s="327" t="s">
        <v>134</v>
      </c>
      <c r="F55" s="327"/>
      <c r="G55" s="82" t="s">
        <v>139</v>
      </c>
      <c r="H55" s="243">
        <v>1</v>
      </c>
      <c r="I55" s="136">
        <v>2000000</v>
      </c>
      <c r="J55" s="134">
        <f t="shared" si="2"/>
        <v>2000000</v>
      </c>
      <c r="K55" s="134"/>
      <c r="L55" s="134"/>
      <c r="M55" s="134">
        <f>+I55*H55</f>
        <v>2000000</v>
      </c>
      <c r="N55" s="134"/>
      <c r="O55" s="243" t="s">
        <v>42</v>
      </c>
      <c r="P55" s="243">
        <v>98</v>
      </c>
      <c r="Q55" s="243">
        <v>2071</v>
      </c>
      <c r="R55" s="243">
        <v>2</v>
      </c>
      <c r="S55" s="243">
        <v>6</v>
      </c>
      <c r="T55" s="192">
        <v>2</v>
      </c>
      <c r="U55" s="192">
        <v>1</v>
      </c>
      <c r="Y55" s="65"/>
    </row>
    <row r="56" spans="1:25" s="7" customFormat="1" ht="15.75" customHeight="1" x14ac:dyDescent="0.25">
      <c r="J56" s="64"/>
      <c r="K56" s="64"/>
      <c r="L56" s="64"/>
      <c r="Y56" s="64"/>
    </row>
    <row r="57" spans="1:25" s="7" customFormat="1" ht="19.5" customHeight="1" x14ac:dyDescent="0.25"/>
    <row r="58" spans="1:25" s="7" customFormat="1" ht="15.75" customHeight="1" x14ac:dyDescent="0.25">
      <c r="A58"/>
      <c r="B58"/>
      <c r="C58"/>
      <c r="D58"/>
      <c r="E58"/>
      <c r="F58" s="11"/>
      <c r="G58" s="27"/>
      <c r="H58"/>
      <c r="I58"/>
      <c r="J58" s="11"/>
      <c r="K58" s="370" t="s">
        <v>276</v>
      </c>
      <c r="L58" s="370"/>
      <c r="M58" s="249">
        <f>595500000+26382226.9+292845800</f>
        <v>914728026.89999998</v>
      </c>
      <c r="N58"/>
      <c r="O58"/>
      <c r="P58"/>
      <c r="Q58"/>
      <c r="R58"/>
      <c r="S58"/>
      <c r="T58"/>
      <c r="U58"/>
    </row>
    <row r="59" spans="1:25" s="7" customFormat="1" x14ac:dyDescent="0.25">
      <c r="A59"/>
      <c r="B59"/>
      <c r="C59"/>
      <c r="D59"/>
      <c r="E59"/>
      <c r="F59"/>
      <c r="G59" s="11"/>
      <c r="H59" s="11"/>
      <c r="I59"/>
      <c r="J59" s="229"/>
      <c r="K59" s="11"/>
      <c r="L59" s="11"/>
      <c r="M59" s="11"/>
      <c r="N59"/>
      <c r="O59" s="11"/>
      <c r="P59"/>
      <c r="Q59"/>
      <c r="R59"/>
      <c r="S59"/>
      <c r="T59"/>
      <c r="U59"/>
    </row>
    <row r="60" spans="1:25" s="7" customFormat="1" ht="16.5" customHeight="1" x14ac:dyDescent="0.25">
      <c r="A60"/>
      <c r="B60"/>
      <c r="C60"/>
      <c r="D60"/>
      <c r="E60"/>
      <c r="F60"/>
      <c r="G60" s="16"/>
      <c r="H60"/>
      <c r="I60"/>
      <c r="J60" s="11"/>
      <c r="K60"/>
      <c r="L60" s="11"/>
      <c r="M60" s="11"/>
      <c r="N60"/>
      <c r="O60"/>
      <c r="P60"/>
      <c r="Q60"/>
      <c r="R60"/>
      <c r="S60"/>
      <c r="T60"/>
      <c r="U60"/>
    </row>
    <row r="61" spans="1:25" s="7" customFormat="1" ht="15.75" x14ac:dyDescent="0.25">
      <c r="A61"/>
      <c r="B61"/>
      <c r="C61"/>
      <c r="D61"/>
      <c r="E61" s="23"/>
      <c r="F61" s="23"/>
      <c r="G61" s="28"/>
      <c r="H61" s="29"/>
      <c r="I61"/>
      <c r="J61" s="11"/>
      <c r="K61"/>
      <c r="L61"/>
      <c r="M61"/>
      <c r="N61"/>
      <c r="O61"/>
      <c r="P61"/>
      <c r="Q61"/>
      <c r="R61"/>
      <c r="S61"/>
      <c r="T61"/>
      <c r="U61"/>
    </row>
    <row r="62" spans="1:25" s="7" customFormat="1" ht="16.5" customHeight="1" x14ac:dyDescent="0.25">
      <c r="A62"/>
      <c r="B62"/>
      <c r="C62"/>
      <c r="D62"/>
      <c r="E62"/>
      <c r="F62"/>
      <c r="G62" s="11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5" s="7" customFormat="1" x14ac:dyDescent="0.25">
      <c r="A63"/>
      <c r="B63"/>
      <c r="C63"/>
      <c r="D63"/>
      <c r="E63"/>
      <c r="F63"/>
      <c r="G63" s="30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5" s="7" customForma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5" s="7" customForma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5" s="7" customFormat="1" ht="15.75" customHeigh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5" s="7" customFormat="1" ht="57.75" customHeigh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5" s="7" customFormat="1" ht="255.75" customHeigh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5" s="121" customFormat="1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5" s="7" customForma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5" s="7" customFormat="1" ht="18" customHeigh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5" s="7" customFormat="1" ht="57" customHeight="1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5" s="7" customFormat="1" ht="66.75" customHeight="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5" s="7" customFormat="1" ht="50.25" customHeigh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X74" s="7" t="s">
        <v>37</v>
      </c>
      <c r="Y74" s="64" t="e">
        <f>+#REF!+#REF!+#REF!+#REF!</f>
        <v>#REF!</v>
      </c>
    </row>
    <row r="75" spans="1:25" s="7" customFormat="1" ht="28.5" customHeigh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Y75" s="64" t="e">
        <f>+Y74-#REF!</f>
        <v>#REF!</v>
      </c>
    </row>
    <row r="76" spans="1:25" s="7" customFormat="1" ht="48.75" customHeigh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5" s="7" customFormat="1" ht="78.75" customHeigh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5" s="7" customFormat="1" ht="121.5" customHeigh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5" s="7" customFormat="1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5" s="7" customFormat="1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 s="7" customFormat="1" ht="16.5" customHeight="1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1:21" s="7" customFormat="1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1:21" s="7" customFormat="1" ht="16.5" customHeight="1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1:21" s="7" customFormat="1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 s="7" customFormat="1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1:21" s="7" customFormat="1" ht="22.5" customHeight="1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1:21" s="7" customFormat="1" ht="23.25" customHeight="1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1:21" s="7" customFormat="1" ht="34.5" customHeight="1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1:21" s="7" customFormat="1" ht="230.25" customHeight="1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1:21" s="7" customFormat="1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1:21" s="7" customFormat="1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 s="7" customFormat="1" ht="15.75" customHeight="1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s="7" customFormat="1" ht="61.5" customHeight="1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s="7" customFormat="1" ht="36.75" customHeight="1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s="7" customFormat="1" ht="29.25" customHeight="1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s="7" customFormat="1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6" s="7" customFormat="1" ht="15.75" customHeight="1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6" s="7" customFormat="1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6" s="7" customFormat="1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6" s="7" customFormat="1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6" s="7" customFormat="1" ht="15.75" customHeight="1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6" s="7" customFormat="1" ht="45" customHeight="1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6" s="7" customFormat="1" ht="136.5" customHeight="1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 s="15"/>
    </row>
    <row r="104" spans="1:26" s="7" customFormat="1" ht="15.75" customHeight="1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6" s="7" customFormat="1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6" s="7" customFormat="1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6" s="7" customFormat="1" ht="16.5" customHeight="1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6" s="7" customFormat="1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6" s="7" customFormat="1" ht="62.25" customHeight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 s="121"/>
      <c r="W109" s="121"/>
      <c r="X109" s="121"/>
      <c r="Y109" s="121"/>
    </row>
    <row r="110" spans="1:26" s="15" customFormat="1" ht="19.5" customHeight="1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 s="121"/>
      <c r="W110" s="121"/>
      <c r="X110" s="121"/>
      <c r="Y110" s="121"/>
      <c r="Z110" s="75"/>
    </row>
    <row r="111" spans="1:26" s="15" customFormat="1" ht="19.5" customHeight="1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 s="121"/>
      <c r="W111" s="121"/>
      <c r="X111" s="121"/>
      <c r="Y111" s="121"/>
      <c r="Z111" s="75"/>
    </row>
    <row r="112" spans="1:26" s="7" customFormat="1" ht="15.75" customHeight="1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 s="121"/>
      <c r="W112" s="121"/>
      <c r="X112" s="121"/>
      <c r="Y112" s="137" t="e">
        <f>+#REF!-308123715.6</f>
        <v>#REF!</v>
      </c>
    </row>
    <row r="113" spans="1:22" s="7" customFormat="1" ht="15.75" customHeight="1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2" s="7" customFormat="1" ht="25.5" customHeight="1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2" s="7" customFormat="1" ht="241.5" customHeight="1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2" s="7" customFormat="1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2" s="7" customFormat="1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2" s="7" customFormat="1" ht="15.75" customHeight="1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2" s="7" customFormat="1" ht="57" customHeight="1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2" s="7" customFormat="1" ht="45" customHeight="1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 s="64"/>
    </row>
    <row r="121" spans="1:22" s="7" customFormat="1" ht="45" customHeight="1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2" s="7" customFormat="1" ht="45" customHeight="1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2" s="121" customFormat="1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2" s="121" customFormat="1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2" s="121" customFormat="1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2" s="7" customFormat="1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2" s="7" customFormat="1" ht="15.75" customHeight="1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2" s="7" customFormat="1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s="7" customFormat="1" ht="213.75" customHeight="1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s="7" customFormat="1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s="7" customFormat="1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s="7" customFormat="1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s="7" customFormat="1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s="7" customFormat="1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s="7" customFormat="1" ht="16.5" customHeight="1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s="7" customFormat="1" ht="41.25" customHeight="1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s="7" customFormat="1" ht="56.25" customHeight="1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s="7" customFormat="1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s="7" customFormat="1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s="7" customFormat="1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s="7" customFormat="1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s="7" customFormat="1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s="7" customFormat="1" ht="15.75" customHeight="1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s="7" customFormat="1" ht="16.5" customHeight="1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s="7" customFormat="1" ht="36" customHeight="1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s="7" customFormat="1" ht="191.25" customHeight="1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s="7" customFormat="1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s="7" customFormat="1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s="7" customFormat="1" ht="27.75" customHeight="1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s="7" customFormat="1" ht="60" customHeight="1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s="7" customFormat="1" ht="134.25" customHeight="1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s="7" customFormat="1" ht="84" customHeight="1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s="7" customFormat="1" ht="105.75" customHeight="1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s="7" customFormat="1" ht="30.75" customHeight="1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s="7" customFormat="1" ht="15.75" customHeight="1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s="7" customFormat="1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s="7" customFormat="1" ht="20.25" customHeight="1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s="7" customFormat="1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s="7" customFormat="1" ht="304.5" customHeight="1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s="7" customFormat="1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s="7" customFormat="1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s="7" customFormat="1" ht="20.25" customHeight="1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s="7" customFormat="1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s="7" customFormat="1" ht="35.1" customHeight="1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s="7" customFormat="1" ht="35.1" customHeight="1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s="7" customFormat="1" ht="35.1" customHeight="1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s="7" customFormat="1" ht="35.1" customHeight="1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s="7" customFormat="1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s="7" customFormat="1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s="7" customFormat="1" ht="16.5" customHeight="1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s="7" customFormat="1" ht="36.75" customHeight="1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s="7" customFormat="1" ht="297" customHeight="1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s="7" customFormat="1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s="7" customFormat="1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s="7" customFormat="1" ht="16.5" customHeight="1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s="7" customFormat="1" ht="57" customHeight="1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s="7" customFormat="1" ht="61.5" customHeight="1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s="7" customFormat="1" ht="63" customHeight="1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s="7" customFormat="1" ht="48" customHeight="1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s="7" customFormat="1" ht="33" customHeight="1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s="7" customFormat="1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s="7" customFormat="1" ht="57" customHeight="1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s="7" customFormat="1" ht="42.75" customHeight="1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s="7" customFormat="1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s="7" customFormat="1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s="7" customFormat="1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s="7" customFormat="1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s="7" customFormat="1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s="7" customFormat="1" ht="16.5" customHeight="1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s="7" customFormat="1" ht="42" customHeight="1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  <row r="191" spans="1:21" s="7" customFormat="1" ht="288.75" customHeight="1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</row>
    <row r="192" spans="1:21" s="7" customFormat="1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</row>
    <row r="193" spans="1:21" s="7" customFormat="1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</row>
    <row r="194" spans="1:21" s="7" customFormat="1" ht="17.25" customHeight="1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</row>
    <row r="195" spans="1:21" s="7" customFormat="1" ht="60" customHeight="1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</row>
    <row r="196" spans="1:21" s="7" customFormat="1" ht="35.1" customHeight="1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</row>
    <row r="197" spans="1:21" s="7" customFormat="1" ht="35.1" customHeight="1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</row>
    <row r="198" spans="1:21" s="7" customFormat="1" ht="35.1" customHeight="1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</row>
    <row r="199" spans="1:21" s="7" customFormat="1" ht="35.1" customHeight="1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</row>
    <row r="200" spans="1:21" s="7" customFormat="1" ht="45" customHeight="1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</row>
    <row r="201" spans="1:21" s="7" customFormat="1" ht="45" customHeight="1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</row>
    <row r="202" spans="1:21" s="7" customFormat="1" ht="45" customHeight="1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</row>
    <row r="203" spans="1:21" s="7" customFormat="1" ht="45" customHeight="1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</row>
    <row r="204" spans="1:21" s="7" customFormat="1" ht="45" customHeight="1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</row>
    <row r="205" spans="1:21" s="7" customFormat="1" ht="45" customHeight="1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</row>
    <row r="206" spans="1:21" s="7" customFormat="1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</row>
    <row r="207" spans="1:21" s="7" customFormat="1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</row>
    <row r="208" spans="1:21" s="7" customFormat="1" ht="10.5" customHeight="1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</row>
    <row r="209" spans="1:21" s="7" customFormat="1" ht="16.5" customHeight="1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</row>
    <row r="210" spans="1:21" s="7" customFormat="1" ht="25.5" customHeight="1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</row>
    <row r="211" spans="1:21" s="7" customFormat="1" ht="23.25" customHeight="1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</row>
    <row r="212" spans="1:21" s="7" customFormat="1" ht="191.25" customHeight="1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</row>
    <row r="213" spans="1:21" s="7" customFormat="1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</row>
    <row r="214" spans="1:21" s="7" customFormat="1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</row>
    <row r="215" spans="1:21" s="7" customFormat="1" ht="26.25" customHeight="1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</row>
    <row r="216" spans="1:21" s="7" customFormat="1" ht="56.25" customHeight="1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</row>
    <row r="217" spans="1:21" s="7" customFormat="1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</row>
    <row r="218" spans="1:21" s="7" customFormat="1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</row>
    <row r="219" spans="1:21" s="7" customFormat="1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</row>
    <row r="220" spans="1:21" s="7" customFormat="1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</row>
    <row r="221" spans="1:21" s="7" customFormat="1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</row>
    <row r="222" spans="1:21" s="7" customFormat="1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</row>
    <row r="223" spans="1:21" s="7" customFormat="1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</row>
    <row r="224" spans="1:21" s="7" customFormat="1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</row>
    <row r="225" spans="1:39" s="7" customFormat="1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</row>
    <row r="226" spans="1:39" s="7" customFormat="1" ht="43.5" customHeight="1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</row>
    <row r="227" spans="1:39" s="7" customFormat="1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</row>
    <row r="228" spans="1:39" s="7" customFormat="1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</row>
    <row r="229" spans="1:39" s="7" customFormat="1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</row>
    <row r="230" spans="1:39" s="7" customFormat="1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</row>
    <row r="231" spans="1:39" s="7" customFormat="1" ht="35.1" customHeight="1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</row>
    <row r="232" spans="1:39" s="7" customFormat="1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</row>
    <row r="233" spans="1:39" s="7" customFormat="1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</row>
    <row r="234" spans="1:39" s="7" customFormat="1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</row>
    <row r="235" spans="1:39" s="7" customFormat="1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</row>
    <row r="236" spans="1:39" s="7" customFormat="1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</row>
    <row r="237" spans="1:39" s="7" customFormat="1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</row>
    <row r="238" spans="1:39" s="7" customFormat="1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</row>
    <row r="239" spans="1:39" s="200" customFormat="1" ht="56.25" customHeight="1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 s="226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</row>
    <row r="240" spans="1:39" s="200" customFormat="1" ht="35.1" customHeight="1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</row>
    <row r="241" spans="1:40" s="7" customFormat="1" ht="35.1" customHeight="1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</row>
    <row r="242" spans="1:40" s="7" customFormat="1" ht="35.1" customHeight="1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</row>
    <row r="243" spans="1:40" s="7" customFormat="1" ht="35.1" customHeight="1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</row>
    <row r="244" spans="1:40" s="7" customFormat="1" ht="35.1" customHeight="1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</row>
    <row r="245" spans="1:40" s="7" customFormat="1" ht="35.1" customHeight="1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</row>
    <row r="246" spans="1:40" s="7" customFormat="1" ht="35.1" customHeight="1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</row>
    <row r="247" spans="1:40" s="200" customFormat="1" ht="35.1" customHeight="1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</row>
    <row r="248" spans="1:40" s="7" customFormat="1" ht="35.1" customHeight="1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</row>
    <row r="249" spans="1:40" s="7" customFormat="1" ht="35.1" customHeight="1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</row>
    <row r="250" spans="1:40" s="7" customFormat="1" ht="35.1" customHeight="1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</row>
    <row r="251" spans="1:40" s="7" customFormat="1" ht="35.1" customHeight="1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</row>
    <row r="252" spans="1:40" s="7" customFormat="1" ht="35.1" customHeight="1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</row>
    <row r="253" spans="1:40" s="7" customFormat="1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</row>
    <row r="254" spans="1:40" s="7" customFormat="1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</row>
    <row r="255" spans="1:40" s="200" customFormat="1" ht="74.25" customHeight="1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</row>
    <row r="256" spans="1:40" s="7" customFormat="1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</row>
    <row r="257" spans="1:24" s="7" customFormat="1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</row>
    <row r="258" spans="1:24" s="7" customFormat="1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</row>
    <row r="259" spans="1:24" s="7" customFormat="1" ht="45" customHeight="1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</row>
    <row r="260" spans="1:24" s="7" customFormat="1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</row>
    <row r="261" spans="1:24" s="7" customFormat="1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</row>
    <row r="262" spans="1:24" s="7" customFormat="1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</row>
    <row r="263" spans="1:24" s="7" customFormat="1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</row>
    <row r="264" spans="1:24" s="7" customFormat="1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</row>
    <row r="265" spans="1:24" s="7" customFormat="1" ht="35.1" customHeight="1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</row>
    <row r="266" spans="1:24" s="7" customFormat="1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</row>
    <row r="267" spans="1:24" s="7" customFormat="1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X267" s="7">
        <f>37195786+53791160</f>
        <v>90986946</v>
      </c>
    </row>
    <row r="268" spans="1:24" s="7" customFormat="1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</row>
    <row r="269" spans="1:24" s="7" customFormat="1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</row>
    <row r="270" spans="1:24" s="7" customFormat="1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</row>
    <row r="271" spans="1:24" s="7" customFormat="1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</row>
    <row r="272" spans="1:24" s="7" customFormat="1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</row>
    <row r="273" spans="1:42" s="7" customFormat="1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</row>
    <row r="274" spans="1:42" s="7" customFormat="1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</row>
    <row r="275" spans="1:42" s="7" customFormat="1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</row>
    <row r="276" spans="1:42" s="7" customFormat="1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</row>
    <row r="277" spans="1:42" s="7" customFormat="1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</row>
    <row r="278" spans="1:42" s="7" customFormat="1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</row>
    <row r="279" spans="1:42" s="7" customFormat="1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</row>
    <row r="280" spans="1:42" s="200" customFormat="1" ht="30.75" customHeight="1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</row>
    <row r="281" spans="1:42" s="7" customFormat="1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</row>
    <row r="282" spans="1:42" s="7" customFormat="1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</row>
    <row r="283" spans="1:42" s="7" customFormat="1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</row>
    <row r="284" spans="1:42" s="7" customFormat="1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</row>
    <row r="285" spans="1:42" s="200" customFormat="1" ht="36" customHeight="1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</row>
    <row r="286" spans="1:42" s="7" customFormat="1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</row>
    <row r="287" spans="1:42" s="7" customFormat="1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</row>
    <row r="288" spans="1:42" s="7" customFormat="1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</row>
    <row r="289" spans="1:21" s="7" customFormat="1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</row>
    <row r="290" spans="1:21" s="7" customFormat="1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</row>
    <row r="291" spans="1:21" s="7" customFormat="1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</row>
    <row r="292" spans="1:21" s="7" customFormat="1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</row>
    <row r="293" spans="1:21" ht="24" customHeight="1" x14ac:dyDescent="0.25"/>
    <row r="294" spans="1:21" ht="52.5" customHeight="1" x14ac:dyDescent="0.25"/>
    <row r="295" spans="1:21" ht="43.5" customHeight="1" x14ac:dyDescent="0.25"/>
    <row r="296" spans="1:21" ht="48.75" customHeight="1" x14ac:dyDescent="0.25"/>
    <row r="297" spans="1:21" ht="45.75" customHeight="1" x14ac:dyDescent="0.25"/>
  </sheetData>
  <mergeCells count="76">
    <mergeCell ref="B1:U1"/>
    <mergeCell ref="B2:J2"/>
    <mergeCell ref="B4:J4"/>
    <mergeCell ref="B6:U6"/>
    <mergeCell ref="K58:L58"/>
    <mergeCell ref="P8:U9"/>
    <mergeCell ref="B7:F7"/>
    <mergeCell ref="B8:D8"/>
    <mergeCell ref="E8:E9"/>
    <mergeCell ref="F8:F9"/>
    <mergeCell ref="G8:G9"/>
    <mergeCell ref="H8:H9"/>
    <mergeCell ref="I8:I9"/>
    <mergeCell ref="J8:J9"/>
    <mergeCell ref="K8:N8"/>
    <mergeCell ref="O8:O9"/>
    <mergeCell ref="P10:U10"/>
    <mergeCell ref="B12:F12"/>
    <mergeCell ref="B13:D13"/>
    <mergeCell ref="E13:F14"/>
    <mergeCell ref="G13:J13"/>
    <mergeCell ref="K13:N13"/>
    <mergeCell ref="O13:O14"/>
    <mergeCell ref="P13:U13"/>
    <mergeCell ref="O21:O22"/>
    <mergeCell ref="E15:F15"/>
    <mergeCell ref="E16:F16"/>
    <mergeCell ref="E17:F17"/>
    <mergeCell ref="B20:F20"/>
    <mergeCell ref="B21:D21"/>
    <mergeCell ref="E21:E22"/>
    <mergeCell ref="F21:F22"/>
    <mergeCell ref="E43:E44"/>
    <mergeCell ref="F43:F44"/>
    <mergeCell ref="P21:U22"/>
    <mergeCell ref="P23:U23"/>
    <mergeCell ref="B25:F25"/>
    <mergeCell ref="B26:D26"/>
    <mergeCell ref="E26:F27"/>
    <mergeCell ref="G26:J26"/>
    <mergeCell ref="K26:N26"/>
    <mergeCell ref="O26:O27"/>
    <mergeCell ref="P26:U26"/>
    <mergeCell ref="G21:G22"/>
    <mergeCell ref="H21:H22"/>
    <mergeCell ref="I21:I22"/>
    <mergeCell ref="J21:J22"/>
    <mergeCell ref="K21:N21"/>
    <mergeCell ref="B28:B30"/>
    <mergeCell ref="C28:C30"/>
    <mergeCell ref="D28:D30"/>
    <mergeCell ref="E28:F30"/>
    <mergeCell ref="B42:F42"/>
    <mergeCell ref="P43:U44"/>
    <mergeCell ref="P45:U45"/>
    <mergeCell ref="B46:F46"/>
    <mergeCell ref="B47:D47"/>
    <mergeCell ref="E47:F48"/>
    <mergeCell ref="G47:J47"/>
    <mergeCell ref="K47:N47"/>
    <mergeCell ref="O47:O48"/>
    <mergeCell ref="P47:U47"/>
    <mergeCell ref="G43:G44"/>
    <mergeCell ref="H43:H44"/>
    <mergeCell ref="I43:I44"/>
    <mergeCell ref="J43:J44"/>
    <mergeCell ref="K43:N43"/>
    <mergeCell ref="O43:O44"/>
    <mergeCell ref="B43:D43"/>
    <mergeCell ref="E55:F55"/>
    <mergeCell ref="E49:F49"/>
    <mergeCell ref="E50:F50"/>
    <mergeCell ref="E51:F51"/>
    <mergeCell ref="E52:F52"/>
    <mergeCell ref="E53:F53"/>
    <mergeCell ref="E54:F54"/>
  </mergeCells>
  <pageMargins left="0.39370078740157483" right="0.19685039370078741" top="0.47244094488188981" bottom="0.59055118110236227" header="0.31496062992125984" footer="0.31496062992125984"/>
  <pageSetup paperSize="163" scale="60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96"/>
  <sheetViews>
    <sheetView topLeftCell="D16" zoomScale="48" zoomScaleNormal="48" workbookViewId="0">
      <selection activeCell="K29" sqref="K29:M29"/>
    </sheetView>
  </sheetViews>
  <sheetFormatPr baseColWidth="10" defaultRowHeight="15" x14ac:dyDescent="0.25"/>
  <cols>
    <col min="1" max="1" width="2.85546875" customWidth="1"/>
    <col min="2" max="2" width="4.42578125" customWidth="1"/>
    <col min="3" max="3" width="12.42578125" customWidth="1"/>
    <col min="4" max="4" width="4.7109375" customWidth="1"/>
    <col min="5" max="5" width="18.85546875" customWidth="1"/>
    <col min="6" max="6" width="22" customWidth="1"/>
    <col min="7" max="7" width="25" customWidth="1"/>
    <col min="8" max="8" width="16.140625" customWidth="1"/>
    <col min="9" max="9" width="17" customWidth="1"/>
    <col min="10" max="11" width="17.5703125" customWidth="1"/>
    <col min="12" max="12" width="15.42578125" customWidth="1"/>
    <col min="13" max="13" width="20.140625" customWidth="1"/>
    <col min="14" max="14" width="17.28515625" customWidth="1"/>
    <col min="15" max="15" width="18.7109375" customWidth="1"/>
    <col min="16" max="16" width="4.28515625" customWidth="1"/>
    <col min="17" max="17" width="7.5703125" customWidth="1"/>
    <col min="18" max="18" width="4.85546875" customWidth="1"/>
    <col min="19" max="19" width="4.5703125" customWidth="1"/>
    <col min="20" max="20" width="4.28515625" customWidth="1"/>
    <col min="21" max="21" width="4.140625" customWidth="1"/>
    <col min="23" max="23" width="12.28515625" bestFit="1" customWidth="1"/>
    <col min="24" max="24" width="11.5703125" bestFit="1" customWidth="1"/>
    <col min="25" max="25" width="21.140625" customWidth="1"/>
    <col min="26" max="26" width="13.7109375" bestFit="1" customWidth="1"/>
  </cols>
  <sheetData>
    <row r="1" spans="1:22" ht="14.25" customHeight="1" x14ac:dyDescent="0.25">
      <c r="A1" s="1"/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</row>
    <row r="2" spans="1:22" s="6" customFormat="1" ht="21.75" customHeight="1" x14ac:dyDescent="0.3">
      <c r="B2" s="359" t="s">
        <v>245</v>
      </c>
      <c r="C2" s="359"/>
      <c r="D2" s="359"/>
      <c r="E2" s="359"/>
      <c r="F2" s="359"/>
      <c r="G2" s="359"/>
      <c r="H2" s="359"/>
      <c r="I2" s="359"/>
      <c r="J2" s="359"/>
      <c r="K2" s="36"/>
      <c r="L2" s="36"/>
      <c r="M2" s="37"/>
      <c r="N2" s="36"/>
      <c r="O2" s="36"/>
    </row>
    <row r="3" spans="1:22" s="6" customFormat="1" ht="21.75" customHeight="1" x14ac:dyDescent="0.3">
      <c r="B3" s="246"/>
      <c r="C3" s="246"/>
      <c r="D3" s="246"/>
      <c r="E3" s="246"/>
      <c r="F3" s="246"/>
      <c r="G3" s="246"/>
      <c r="H3" s="246"/>
      <c r="I3" s="246"/>
      <c r="J3" s="246"/>
      <c r="K3" s="36"/>
      <c r="L3" s="36"/>
      <c r="M3" s="37"/>
      <c r="N3" s="36"/>
      <c r="O3" s="36"/>
    </row>
    <row r="4" spans="1:22" s="6" customFormat="1" ht="18.75" customHeight="1" x14ac:dyDescent="0.3">
      <c r="B4" s="359" t="s">
        <v>76</v>
      </c>
      <c r="C4" s="359"/>
      <c r="D4" s="359"/>
      <c r="E4" s="359"/>
      <c r="F4" s="359"/>
      <c r="G4" s="359"/>
      <c r="H4" s="359"/>
      <c r="I4" s="359"/>
      <c r="J4" s="359"/>
      <c r="K4" s="36"/>
      <c r="L4" s="36"/>
      <c r="M4" s="36"/>
      <c r="N4" s="36"/>
      <c r="O4" s="36"/>
    </row>
    <row r="5" spans="1:22" s="6" customFormat="1" ht="18.75" customHeight="1" x14ac:dyDescent="0.3">
      <c r="B5" s="246"/>
      <c r="C5" s="246"/>
      <c r="D5" s="246"/>
      <c r="E5" s="246"/>
      <c r="F5" s="246"/>
      <c r="G5" s="246"/>
      <c r="H5" s="246"/>
      <c r="I5" s="246"/>
      <c r="J5" s="246"/>
      <c r="K5" s="36"/>
      <c r="L5" s="36"/>
      <c r="M5" s="36"/>
      <c r="N5" s="36"/>
      <c r="O5" s="36"/>
    </row>
    <row r="6" spans="1:22" s="6" customFormat="1" ht="42" customHeight="1" x14ac:dyDescent="0.3">
      <c r="B6" s="360" t="s">
        <v>75</v>
      </c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</row>
    <row r="7" spans="1:22" ht="17.25" x14ac:dyDescent="0.3">
      <c r="A7" s="2"/>
      <c r="B7" s="33"/>
      <c r="C7" s="33"/>
      <c r="D7" s="33"/>
      <c r="E7" s="33"/>
      <c r="F7" s="33"/>
      <c r="G7" s="33"/>
      <c r="H7" s="33"/>
      <c r="I7" s="33"/>
      <c r="J7" s="33"/>
      <c r="K7" s="3"/>
      <c r="L7" s="4"/>
      <c r="M7" s="4"/>
      <c r="N7" s="4"/>
      <c r="O7" s="4"/>
      <c r="P7" s="1"/>
      <c r="Q7" s="1"/>
      <c r="R7" s="1"/>
      <c r="S7" s="1"/>
      <c r="T7" s="1"/>
      <c r="U7" s="1"/>
    </row>
    <row r="8" spans="1:22" s="7" customFormat="1" ht="18" thickBot="1" x14ac:dyDescent="0.35">
      <c r="B8" s="295" t="s">
        <v>77</v>
      </c>
      <c r="C8" s="295"/>
      <c r="D8" s="295"/>
      <c r="E8" s="295"/>
      <c r="F8" s="295"/>
      <c r="G8" s="94"/>
      <c r="H8" s="94"/>
      <c r="I8" s="94"/>
      <c r="J8" s="94"/>
      <c r="K8" s="94"/>
      <c r="L8" s="94"/>
      <c r="M8" s="94"/>
      <c r="N8" s="94"/>
      <c r="O8" s="94"/>
      <c r="P8" s="94"/>
      <c r="Q8" s="140"/>
      <c r="R8" s="140"/>
      <c r="S8" s="140"/>
      <c r="T8" s="140"/>
      <c r="U8" s="140"/>
    </row>
    <row r="9" spans="1:22" s="5" customFormat="1" ht="16.5" customHeight="1" thickTop="1" thickBot="1" x14ac:dyDescent="0.3">
      <c r="A9" s="7"/>
      <c r="B9" s="296" t="s">
        <v>0</v>
      </c>
      <c r="C9" s="296"/>
      <c r="D9" s="296"/>
      <c r="E9" s="296" t="s">
        <v>1</v>
      </c>
      <c r="F9" s="296" t="s">
        <v>2</v>
      </c>
      <c r="G9" s="319" t="s">
        <v>3</v>
      </c>
      <c r="H9" s="319" t="s">
        <v>4</v>
      </c>
      <c r="I9" s="319" t="s">
        <v>5</v>
      </c>
      <c r="J9" s="319" t="s">
        <v>6</v>
      </c>
      <c r="K9" s="319" t="s">
        <v>7</v>
      </c>
      <c r="L9" s="319"/>
      <c r="M9" s="319"/>
      <c r="N9" s="319"/>
      <c r="O9" s="296" t="s">
        <v>8</v>
      </c>
      <c r="P9" s="296" t="s">
        <v>9</v>
      </c>
      <c r="Q9" s="296"/>
      <c r="R9" s="296"/>
      <c r="S9" s="296"/>
      <c r="T9" s="296"/>
      <c r="U9" s="296"/>
    </row>
    <row r="10" spans="1:22" s="5" customFormat="1" ht="43.5" customHeight="1" thickTop="1" thickBot="1" x14ac:dyDescent="0.3">
      <c r="A10" s="7"/>
      <c r="B10" s="238" t="s">
        <v>10</v>
      </c>
      <c r="C10" s="238" t="s">
        <v>11</v>
      </c>
      <c r="D10" s="238" t="s">
        <v>12</v>
      </c>
      <c r="E10" s="326"/>
      <c r="F10" s="326"/>
      <c r="G10" s="325"/>
      <c r="H10" s="325"/>
      <c r="I10" s="325"/>
      <c r="J10" s="325"/>
      <c r="K10" s="151" t="s">
        <v>13</v>
      </c>
      <c r="L10" s="151" t="s">
        <v>14</v>
      </c>
      <c r="M10" s="151" t="s">
        <v>116</v>
      </c>
      <c r="N10" s="151" t="s">
        <v>15</v>
      </c>
      <c r="O10" s="326"/>
      <c r="P10" s="326"/>
      <c r="Q10" s="326"/>
      <c r="R10" s="326"/>
      <c r="S10" s="326"/>
      <c r="T10" s="326"/>
      <c r="U10" s="326"/>
    </row>
    <row r="11" spans="1:22" s="7" customFormat="1" ht="299.25" customHeight="1" thickTop="1" thickBot="1" x14ac:dyDescent="0.3">
      <c r="B11" s="84" t="s">
        <v>79</v>
      </c>
      <c r="C11" s="84" t="s">
        <v>80</v>
      </c>
      <c r="D11" s="84">
        <v>6</v>
      </c>
      <c r="E11" s="152" t="s">
        <v>150</v>
      </c>
      <c r="F11" s="83" t="s">
        <v>65</v>
      </c>
      <c r="G11" s="84" t="s">
        <v>66</v>
      </c>
      <c r="H11" s="84" t="s">
        <v>67</v>
      </c>
      <c r="I11" s="84">
        <v>29</v>
      </c>
      <c r="J11" s="84">
        <f>SUM(K11:N11)</f>
        <v>40</v>
      </c>
      <c r="K11" s="85">
        <v>0</v>
      </c>
      <c r="L11" s="85">
        <v>5</v>
      </c>
      <c r="M11" s="85">
        <v>9</v>
      </c>
      <c r="N11" s="86">
        <v>26</v>
      </c>
      <c r="O11" s="153">
        <f>SUM(J16:J25)</f>
        <v>12056696.01</v>
      </c>
      <c r="P11" s="320" t="s">
        <v>154</v>
      </c>
      <c r="Q11" s="320"/>
      <c r="R11" s="320"/>
      <c r="S11" s="320"/>
      <c r="T11" s="320"/>
      <c r="U11" s="320"/>
    </row>
    <row r="12" spans="1:22" s="7" customFormat="1" x14ac:dyDescent="0.25">
      <c r="B12" s="87"/>
      <c r="C12" s="87"/>
      <c r="D12" s="87"/>
      <c r="E12" s="88"/>
      <c r="F12" s="89"/>
      <c r="G12" s="87"/>
      <c r="H12" s="87"/>
      <c r="I12" s="87"/>
      <c r="J12" s="87"/>
      <c r="K12" s="78"/>
      <c r="L12" s="78"/>
      <c r="M12" s="78"/>
      <c r="N12" s="18"/>
      <c r="O12" s="87"/>
      <c r="P12" s="90"/>
      <c r="Q12" s="90"/>
      <c r="R12" s="90"/>
      <c r="S12" s="90"/>
      <c r="T12" s="90"/>
      <c r="U12" s="90"/>
    </row>
    <row r="13" spans="1:22" s="7" customFormat="1" ht="21" customHeight="1" thickBot="1" x14ac:dyDescent="0.35">
      <c r="B13" s="295" t="s">
        <v>78</v>
      </c>
      <c r="C13" s="295"/>
      <c r="D13" s="295"/>
      <c r="E13" s="295"/>
      <c r="F13" s="295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</row>
    <row r="14" spans="1:22" s="5" customFormat="1" ht="39" customHeight="1" thickTop="1" thickBot="1" x14ac:dyDescent="0.3">
      <c r="A14" s="7"/>
      <c r="B14" s="296" t="s">
        <v>0</v>
      </c>
      <c r="C14" s="296"/>
      <c r="D14" s="296"/>
      <c r="E14" s="296" t="s">
        <v>19</v>
      </c>
      <c r="F14" s="296"/>
      <c r="G14" s="319" t="s">
        <v>20</v>
      </c>
      <c r="H14" s="319"/>
      <c r="I14" s="319"/>
      <c r="J14" s="319"/>
      <c r="K14" s="319" t="s">
        <v>21</v>
      </c>
      <c r="L14" s="319"/>
      <c r="M14" s="319"/>
      <c r="N14" s="319"/>
      <c r="O14" s="296" t="s">
        <v>22</v>
      </c>
      <c r="P14" s="319" t="s">
        <v>23</v>
      </c>
      <c r="Q14" s="319"/>
      <c r="R14" s="319"/>
      <c r="S14" s="319"/>
      <c r="T14" s="319"/>
      <c r="U14" s="319"/>
    </row>
    <row r="15" spans="1:22" s="5" customFormat="1" ht="57" customHeight="1" thickTop="1" thickBot="1" x14ac:dyDescent="0.3">
      <c r="A15" s="7"/>
      <c r="B15" s="234" t="s">
        <v>10</v>
      </c>
      <c r="C15" s="234" t="s">
        <v>11</v>
      </c>
      <c r="D15" s="234" t="s">
        <v>12</v>
      </c>
      <c r="E15" s="296"/>
      <c r="F15" s="296"/>
      <c r="G15" s="12" t="s">
        <v>36</v>
      </c>
      <c r="H15" s="12" t="s">
        <v>24</v>
      </c>
      <c r="I15" s="12" t="s">
        <v>25</v>
      </c>
      <c r="J15" s="12" t="s">
        <v>26</v>
      </c>
      <c r="K15" s="12" t="s">
        <v>13</v>
      </c>
      <c r="L15" s="12" t="s">
        <v>14</v>
      </c>
      <c r="M15" s="12" t="s">
        <v>116</v>
      </c>
      <c r="N15" s="12" t="s">
        <v>15</v>
      </c>
      <c r="O15" s="296"/>
      <c r="P15" s="13" t="s">
        <v>27</v>
      </c>
      <c r="Q15" s="13" t="s">
        <v>28</v>
      </c>
      <c r="R15" s="13" t="s">
        <v>29</v>
      </c>
      <c r="S15" s="13" t="s">
        <v>30</v>
      </c>
      <c r="T15" s="13" t="s">
        <v>31</v>
      </c>
      <c r="U15" s="13" t="s">
        <v>32</v>
      </c>
    </row>
    <row r="16" spans="1:22" s="7" customFormat="1" ht="38.25" customHeight="1" thickTop="1" thickBot="1" x14ac:dyDescent="0.3">
      <c r="B16" s="321" t="s">
        <v>79</v>
      </c>
      <c r="C16" s="321" t="s">
        <v>80</v>
      </c>
      <c r="D16" s="321">
        <v>6</v>
      </c>
      <c r="E16" s="322" t="s">
        <v>148</v>
      </c>
      <c r="F16" s="323"/>
      <c r="G16" s="154" t="s">
        <v>140</v>
      </c>
      <c r="H16" s="235">
        <v>11</v>
      </c>
      <c r="I16" s="46">
        <v>405090.91</v>
      </c>
      <c r="J16" s="96">
        <f t="shared" ref="J16:J25" si="0">+H16*I16</f>
        <v>4456000.01</v>
      </c>
      <c r="K16" s="50">
        <f>+I16*H16/4</f>
        <v>1114000.0024999999</v>
      </c>
      <c r="L16" s="50">
        <f t="shared" ref="L16:N17" si="1">+K16</f>
        <v>1114000.0024999999</v>
      </c>
      <c r="M16" s="50">
        <f t="shared" si="1"/>
        <v>1114000.0024999999</v>
      </c>
      <c r="N16" s="50">
        <f t="shared" si="1"/>
        <v>1114000.0024999999</v>
      </c>
      <c r="O16" s="235" t="s">
        <v>42</v>
      </c>
      <c r="P16" s="243">
        <v>98</v>
      </c>
      <c r="Q16" s="243">
        <v>2071</v>
      </c>
      <c r="R16" s="235">
        <v>2</v>
      </c>
      <c r="S16" s="235">
        <v>8</v>
      </c>
      <c r="T16" s="235">
        <v>7</v>
      </c>
      <c r="U16" s="235">
        <v>6</v>
      </c>
      <c r="V16" s="15"/>
    </row>
    <row r="17" spans="1:22" s="7" customFormat="1" ht="51.75" customHeight="1" thickBot="1" x14ac:dyDescent="0.3">
      <c r="B17" s="304"/>
      <c r="C17" s="304"/>
      <c r="D17" s="304"/>
      <c r="E17" s="324"/>
      <c r="F17" s="324"/>
      <c r="G17" s="77" t="s">
        <v>38</v>
      </c>
      <c r="H17" s="232">
        <f>970+350</f>
        <v>1320</v>
      </c>
      <c r="I17" s="96">
        <v>1300</v>
      </c>
      <c r="J17" s="96">
        <f t="shared" si="0"/>
        <v>1716000</v>
      </c>
      <c r="K17" s="97">
        <f>+I17*H17/4</f>
        <v>429000</v>
      </c>
      <c r="L17" s="97">
        <f t="shared" si="1"/>
        <v>429000</v>
      </c>
      <c r="M17" s="97">
        <f t="shared" si="1"/>
        <v>429000</v>
      </c>
      <c r="N17" s="97">
        <f t="shared" si="1"/>
        <v>429000</v>
      </c>
      <c r="O17" s="232" t="s">
        <v>42</v>
      </c>
      <c r="P17" s="243">
        <v>98</v>
      </c>
      <c r="Q17" s="243">
        <v>2071</v>
      </c>
      <c r="R17" s="232">
        <v>2</v>
      </c>
      <c r="S17" s="232">
        <v>3</v>
      </c>
      <c r="T17" s="232">
        <v>1</v>
      </c>
      <c r="U17" s="232"/>
      <c r="V17" s="15"/>
    </row>
    <row r="18" spans="1:22" s="121" customFormat="1" ht="102.75" customHeight="1" thickBot="1" x14ac:dyDescent="0.3">
      <c r="A18" s="7"/>
      <c r="B18" s="304"/>
      <c r="C18" s="304"/>
      <c r="D18" s="304"/>
      <c r="E18" s="324"/>
      <c r="F18" s="324"/>
      <c r="G18" s="77" t="s">
        <v>107</v>
      </c>
      <c r="H18" s="232">
        <f>7740+1000</f>
        <v>8740</v>
      </c>
      <c r="I18" s="96">
        <v>240</v>
      </c>
      <c r="J18" s="106">
        <f t="shared" si="0"/>
        <v>2097600</v>
      </c>
      <c r="K18" s="159">
        <f>+I18*H18/4</f>
        <v>524400</v>
      </c>
      <c r="L18" s="159">
        <f>+J18/4</f>
        <v>524400</v>
      </c>
      <c r="M18" s="159">
        <f>+J18/4</f>
        <v>524400</v>
      </c>
      <c r="N18" s="159">
        <f>+M18</f>
        <v>524400</v>
      </c>
      <c r="O18" s="232" t="s">
        <v>42</v>
      </c>
      <c r="P18" s="243">
        <v>98</v>
      </c>
      <c r="Q18" s="243">
        <v>2071</v>
      </c>
      <c r="R18" s="232">
        <v>3</v>
      </c>
      <c r="S18" s="232">
        <v>7</v>
      </c>
      <c r="T18" s="232">
        <v>1</v>
      </c>
      <c r="U18" s="232">
        <v>2</v>
      </c>
      <c r="V18" s="15"/>
    </row>
    <row r="19" spans="1:22" s="7" customFormat="1" ht="42.75" customHeight="1" thickBot="1" x14ac:dyDescent="0.3">
      <c r="B19" s="305"/>
      <c r="C19" s="305"/>
      <c r="D19" s="305"/>
      <c r="E19" s="324"/>
      <c r="F19" s="324"/>
      <c r="G19" s="77" t="s">
        <v>141</v>
      </c>
      <c r="H19" s="232">
        <f>120000+105000</f>
        <v>225000</v>
      </c>
      <c r="I19" s="96">
        <v>1.22</v>
      </c>
      <c r="J19" s="96">
        <f t="shared" si="0"/>
        <v>274500</v>
      </c>
      <c r="K19" s="97">
        <f>+I19*H19/4</f>
        <v>68625</v>
      </c>
      <c r="L19" s="97">
        <f>+K19</f>
        <v>68625</v>
      </c>
      <c r="M19" s="97">
        <f>+L19</f>
        <v>68625</v>
      </c>
      <c r="N19" s="97">
        <f>+M19</f>
        <v>68625</v>
      </c>
      <c r="O19" s="232" t="s">
        <v>42</v>
      </c>
      <c r="P19" s="243">
        <v>98</v>
      </c>
      <c r="Q19" s="243">
        <v>2071</v>
      </c>
      <c r="R19" s="232">
        <v>2</v>
      </c>
      <c r="S19" s="232">
        <v>2</v>
      </c>
      <c r="T19" s="232">
        <v>2</v>
      </c>
      <c r="U19" s="232"/>
    </row>
    <row r="20" spans="1:22" s="7" customFormat="1" ht="45" customHeight="1" thickBot="1" x14ac:dyDescent="0.3">
      <c r="B20" s="303" t="s">
        <v>79</v>
      </c>
      <c r="C20" s="303" t="s">
        <v>80</v>
      </c>
      <c r="D20" s="303">
        <v>6</v>
      </c>
      <c r="E20" s="299" t="s">
        <v>149</v>
      </c>
      <c r="F20" s="299"/>
      <c r="G20" s="155" t="s">
        <v>142</v>
      </c>
      <c r="H20" s="232">
        <v>1</v>
      </c>
      <c r="I20" s="96">
        <v>2600000</v>
      </c>
      <c r="J20" s="96">
        <f t="shared" si="0"/>
        <v>2600000</v>
      </c>
      <c r="K20" s="97">
        <f>+I20*H20/2</f>
        <v>1300000</v>
      </c>
      <c r="L20" s="108"/>
      <c r="M20" s="97"/>
      <c r="N20" s="97">
        <f>+K20</f>
        <v>1300000</v>
      </c>
      <c r="O20" s="232" t="s">
        <v>42</v>
      </c>
      <c r="P20" s="243">
        <v>98</v>
      </c>
      <c r="Q20" s="243">
        <v>2071</v>
      </c>
      <c r="R20" s="232">
        <v>2</v>
      </c>
      <c r="S20" s="232">
        <v>8</v>
      </c>
      <c r="T20" s="232">
        <v>7</v>
      </c>
      <c r="U20" s="232">
        <v>6</v>
      </c>
    </row>
    <row r="21" spans="1:22" s="7" customFormat="1" ht="42.75" customHeight="1" thickBot="1" x14ac:dyDescent="0.3">
      <c r="B21" s="304"/>
      <c r="C21" s="304"/>
      <c r="D21" s="304"/>
      <c r="E21" s="299"/>
      <c r="F21" s="299"/>
      <c r="G21" s="77" t="s">
        <v>143</v>
      </c>
      <c r="H21" s="232">
        <v>250</v>
      </c>
      <c r="I21" s="96">
        <v>1300</v>
      </c>
      <c r="J21" s="96">
        <f t="shared" si="0"/>
        <v>325000</v>
      </c>
      <c r="K21" s="97">
        <f>+I21*H21/3</f>
        <v>108333.33333333333</v>
      </c>
      <c r="L21" s="97">
        <f>+K21</f>
        <v>108333.33333333333</v>
      </c>
      <c r="M21" s="97">
        <f>+L21</f>
        <v>108333.33333333333</v>
      </c>
      <c r="N21" s="97"/>
      <c r="O21" s="232" t="s">
        <v>42</v>
      </c>
      <c r="P21" s="243">
        <v>98</v>
      </c>
      <c r="Q21" s="243">
        <v>2071</v>
      </c>
      <c r="R21" s="232">
        <v>2</v>
      </c>
      <c r="S21" s="232">
        <v>3</v>
      </c>
      <c r="T21" s="232">
        <v>1</v>
      </c>
      <c r="U21" s="232"/>
    </row>
    <row r="22" spans="1:22" s="7" customFormat="1" ht="45" customHeight="1" thickBot="1" x14ac:dyDescent="0.3">
      <c r="B22" s="304"/>
      <c r="C22" s="304"/>
      <c r="D22" s="304"/>
      <c r="E22" s="299"/>
      <c r="F22" s="299"/>
      <c r="G22" s="77" t="s">
        <v>144</v>
      </c>
      <c r="H22" s="232">
        <v>1495</v>
      </c>
      <c r="I22" s="96">
        <v>240</v>
      </c>
      <c r="J22" s="96">
        <f t="shared" si="0"/>
        <v>358800</v>
      </c>
      <c r="K22" s="97">
        <f>+I22*H22/3</f>
        <v>119600</v>
      </c>
      <c r="L22" s="97">
        <f>+K22</f>
        <v>119600</v>
      </c>
      <c r="M22" s="97">
        <f>+L22</f>
        <v>119600</v>
      </c>
      <c r="N22" s="97"/>
      <c r="O22" s="232" t="s">
        <v>42</v>
      </c>
      <c r="P22" s="243">
        <v>98</v>
      </c>
      <c r="Q22" s="243">
        <v>2071</v>
      </c>
      <c r="R22" s="232">
        <v>3</v>
      </c>
      <c r="S22" s="232">
        <v>7</v>
      </c>
      <c r="T22" s="232">
        <v>1</v>
      </c>
      <c r="U22" s="232">
        <v>2</v>
      </c>
    </row>
    <row r="23" spans="1:22" s="7" customFormat="1" ht="57.75" customHeight="1" thickBot="1" x14ac:dyDescent="0.3">
      <c r="B23" s="304"/>
      <c r="C23" s="304"/>
      <c r="D23" s="304"/>
      <c r="E23" s="299"/>
      <c r="F23" s="299"/>
      <c r="G23" s="77" t="s">
        <v>145</v>
      </c>
      <c r="H23" s="232">
        <v>7</v>
      </c>
      <c r="I23" s="96">
        <v>25000</v>
      </c>
      <c r="J23" s="96">
        <f t="shared" si="0"/>
        <v>175000</v>
      </c>
      <c r="K23" s="97"/>
      <c r="L23" s="97"/>
      <c r="M23" s="97">
        <f>+I23*H23</f>
        <v>175000</v>
      </c>
      <c r="N23" s="97"/>
      <c r="O23" s="232" t="s">
        <v>42</v>
      </c>
      <c r="P23" s="243">
        <v>98</v>
      </c>
      <c r="Q23" s="243">
        <v>2071</v>
      </c>
      <c r="R23" s="232">
        <v>3</v>
      </c>
      <c r="S23" s="232">
        <v>1</v>
      </c>
      <c r="T23" s="232">
        <v>1</v>
      </c>
      <c r="U23" s="232">
        <v>1</v>
      </c>
    </row>
    <row r="24" spans="1:22" s="7" customFormat="1" ht="38.25" customHeight="1" thickBot="1" x14ac:dyDescent="0.3">
      <c r="B24" s="304"/>
      <c r="C24" s="304"/>
      <c r="D24" s="304"/>
      <c r="E24" s="299"/>
      <c r="F24" s="299"/>
      <c r="G24" s="77" t="s">
        <v>146</v>
      </c>
      <c r="H24" s="232">
        <v>76</v>
      </c>
      <c r="I24" s="96">
        <v>390</v>
      </c>
      <c r="J24" s="96">
        <f t="shared" si="0"/>
        <v>29640</v>
      </c>
      <c r="K24" s="97"/>
      <c r="L24" s="97"/>
      <c r="M24" s="97">
        <f>+I24*H24</f>
        <v>29640</v>
      </c>
      <c r="N24" s="97"/>
      <c r="O24" s="232" t="s">
        <v>42</v>
      </c>
      <c r="P24" s="243">
        <v>98</v>
      </c>
      <c r="Q24" s="243">
        <v>2071</v>
      </c>
      <c r="R24" s="232">
        <v>2</v>
      </c>
      <c r="S24" s="232">
        <v>4</v>
      </c>
      <c r="T24" s="232">
        <v>1</v>
      </c>
      <c r="U24" s="232"/>
    </row>
    <row r="25" spans="1:22" s="7" customFormat="1" ht="76.5" customHeight="1" thickBot="1" x14ac:dyDescent="0.3">
      <c r="B25" s="305"/>
      <c r="C25" s="305"/>
      <c r="D25" s="305"/>
      <c r="E25" s="299"/>
      <c r="F25" s="299"/>
      <c r="G25" s="77" t="s">
        <v>147</v>
      </c>
      <c r="H25" s="232">
        <v>19800</v>
      </c>
      <c r="I25" s="96">
        <v>1.22</v>
      </c>
      <c r="J25" s="96">
        <f t="shared" si="0"/>
        <v>24156</v>
      </c>
      <c r="K25" s="97">
        <f>+I25*H25/2</f>
        <v>12078</v>
      </c>
      <c r="L25" s="97">
        <f>+K25</f>
        <v>12078</v>
      </c>
      <c r="M25" s="97"/>
      <c r="N25" s="97"/>
      <c r="O25" s="232" t="s">
        <v>42</v>
      </c>
      <c r="P25" s="243">
        <v>98</v>
      </c>
      <c r="Q25" s="243">
        <v>2071</v>
      </c>
      <c r="R25" s="232">
        <v>2</v>
      </c>
      <c r="S25" s="232">
        <v>2</v>
      </c>
      <c r="T25" s="232">
        <v>2</v>
      </c>
      <c r="U25" s="232"/>
    </row>
    <row r="26" spans="1:22" s="7" customFormat="1" x14ac:dyDescent="0.25">
      <c r="B26" s="17"/>
      <c r="C26" s="17"/>
      <c r="D26" s="17"/>
      <c r="E26" s="17"/>
      <c r="F26" s="17"/>
      <c r="G26" s="17"/>
      <c r="H26" s="9"/>
      <c r="I26" s="9"/>
      <c r="J26" s="10"/>
      <c r="K26" s="9"/>
      <c r="L26" s="9"/>
      <c r="M26" s="9"/>
      <c r="N26" s="18"/>
      <c r="O26" s="9"/>
      <c r="P26" s="9"/>
      <c r="Q26" s="9"/>
      <c r="R26" s="9"/>
      <c r="S26" s="9"/>
      <c r="T26" s="9"/>
      <c r="U26" s="9"/>
    </row>
    <row r="27" spans="1:22" s="7" customFormat="1" x14ac:dyDescent="0.25"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</row>
    <row r="28" spans="1:22" s="7" customFormat="1" ht="16.5" customHeight="1" x14ac:dyDescent="0.25"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</row>
    <row r="29" spans="1:22" s="7" customFormat="1" ht="55.5" customHeight="1" x14ac:dyDescent="0.25">
      <c r="A29"/>
      <c r="B29"/>
      <c r="C29"/>
      <c r="D29"/>
      <c r="E29"/>
      <c r="F29" s="11"/>
      <c r="G29" s="27"/>
      <c r="H29"/>
      <c r="I29"/>
      <c r="J29" s="11"/>
      <c r="K29" s="370" t="s">
        <v>277</v>
      </c>
      <c r="L29" s="370"/>
      <c r="M29" s="249">
        <f>12056696</f>
        <v>12056696</v>
      </c>
      <c r="N29"/>
      <c r="O29"/>
      <c r="P29"/>
      <c r="Q29"/>
      <c r="R29"/>
      <c r="S29"/>
      <c r="T29"/>
      <c r="U29"/>
    </row>
    <row r="30" spans="1:22" s="7" customFormat="1" ht="31.5" customHeight="1" x14ac:dyDescent="0.25">
      <c r="A30"/>
      <c r="B30"/>
      <c r="C30"/>
      <c r="D30"/>
      <c r="E30"/>
      <c r="F30"/>
      <c r="G30" s="11"/>
      <c r="H30" s="11"/>
      <c r="I30"/>
      <c r="J30" s="229"/>
      <c r="K30" s="11"/>
      <c r="L30" s="11"/>
      <c r="M30" s="11"/>
      <c r="N30"/>
      <c r="O30" s="11"/>
      <c r="P30"/>
      <c r="Q30"/>
      <c r="R30"/>
      <c r="S30"/>
      <c r="T30"/>
      <c r="U30"/>
    </row>
    <row r="31" spans="1:22" s="7" customFormat="1" x14ac:dyDescent="0.25">
      <c r="A31"/>
      <c r="B31"/>
      <c r="C31"/>
      <c r="D31"/>
      <c r="E31"/>
      <c r="F31"/>
      <c r="G31" s="16"/>
      <c r="H31"/>
      <c r="I31"/>
      <c r="J31" s="11"/>
      <c r="K31"/>
      <c r="L31" s="11"/>
      <c r="M31" s="11"/>
      <c r="N31"/>
      <c r="O31"/>
      <c r="P31"/>
      <c r="Q31"/>
      <c r="R31"/>
      <c r="S31"/>
      <c r="T31"/>
      <c r="U31"/>
    </row>
    <row r="32" spans="1:22" s="7" customFormat="1" ht="78" customHeight="1" x14ac:dyDescent="0.25">
      <c r="A32"/>
      <c r="B32"/>
      <c r="C32"/>
      <c r="D32"/>
      <c r="E32" s="23"/>
      <c r="F32" s="23"/>
      <c r="G32" s="28"/>
      <c r="H32" s="29"/>
      <c r="I32"/>
      <c r="J32" s="11"/>
      <c r="K32"/>
      <c r="L32"/>
      <c r="M32"/>
      <c r="N32"/>
      <c r="O32"/>
      <c r="P32"/>
      <c r="Q32"/>
      <c r="R32"/>
      <c r="S32"/>
      <c r="T32"/>
      <c r="U32"/>
    </row>
    <row r="33" spans="1:21" s="7" customFormat="1" x14ac:dyDescent="0.25">
      <c r="A33"/>
      <c r="B33"/>
      <c r="C33"/>
      <c r="D33"/>
      <c r="E33"/>
      <c r="F33"/>
      <c r="G33" s="11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 s="7" customFormat="1" x14ac:dyDescent="0.25">
      <c r="A34"/>
      <c r="B34"/>
      <c r="C34"/>
      <c r="D34"/>
      <c r="E34"/>
      <c r="F34"/>
      <c r="G34" s="30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 s="7" customFormat="1" ht="16.5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 s="7" customForma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21" s="7" customFormat="1" ht="16.5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s="7" customFormat="1" ht="17.25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s="7" customFormat="1" ht="16.5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s="7" customFormat="1" ht="32.25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s="7" customFormat="1" ht="148.5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s="7" customForma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s="7" customForma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s="7" customFormat="1" ht="24.75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s="7" customFormat="1" ht="55.5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s="7" customFormat="1" ht="16.5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s="7" customForma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s="7" customForma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5" s="7" customFormat="1" ht="15.75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X49" s="64"/>
      <c r="Y49" s="64"/>
    </row>
    <row r="50" spans="1:25" s="7" customForma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Y50" s="64"/>
    </row>
    <row r="51" spans="1:25" s="7" customFormat="1" ht="15.75" customHeigh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Y51" s="65"/>
    </row>
    <row r="52" spans="1:25" s="7" customFormat="1" ht="15.75" customHeigh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Y52" s="64"/>
    </row>
    <row r="53" spans="1:25" s="7" customForma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 s="215"/>
    </row>
    <row r="54" spans="1:25" s="7" customFormat="1" ht="35.1" customHeigh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5" s="7" customFormat="1" ht="35.1" customHeigh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5" s="7" customFormat="1" ht="37.5" customHeigh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5" s="7" customFormat="1" ht="15.75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5" s="7" customFormat="1" ht="15.75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5" s="7" customForma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5" s="7" customForma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5" s="7" customForma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5" s="7" customForma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5" s="7" customForma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5" s="7" customForma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5" s="7" customFormat="1" ht="15.75" customHeigh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5" s="7" customFormat="1" ht="57.75" customHeigh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5" s="7" customFormat="1" ht="255.75" customHeigh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5" s="121" customForma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5" s="7" customFormat="1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5" s="7" customFormat="1" ht="18" customHeigh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5" s="7" customFormat="1" ht="57" customHeigh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5" s="7" customFormat="1" ht="66.75" customHeight="1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5" s="7" customFormat="1" ht="50.25" customHeight="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X73" s="7" t="s">
        <v>37</v>
      </c>
      <c r="Y73" s="64" t="e">
        <f>+#REF!+#REF!+#REF!+#REF!</f>
        <v>#REF!</v>
      </c>
    </row>
    <row r="74" spans="1:25" s="7" customFormat="1" ht="28.5" customHeigh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Y74" s="64" t="e">
        <f>+Y73-#REF!</f>
        <v>#REF!</v>
      </c>
    </row>
    <row r="75" spans="1:25" s="7" customFormat="1" ht="48.75" customHeigh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5" s="7" customFormat="1" ht="78.75" customHeigh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5" s="7" customForma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5" s="7" customForma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5" s="7" customFormat="1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5" s="7" customFormat="1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 s="7" customFormat="1" ht="15.75" customHeight="1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1:21" s="7" customFormat="1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1:21" s="7" customFormat="1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1:21" s="7" customFormat="1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 s="7" customFormat="1" ht="22.5" customHeight="1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1:21" s="7" customFormat="1" ht="23.25" customHeight="1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1:21" s="7" customFormat="1" ht="34.5" customHeight="1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1:21" s="7" customFormat="1" ht="230.25" customHeight="1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1:21" s="7" customFormat="1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1:21" s="7" customFormat="1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1:21" s="7" customFormat="1" ht="15.75" customHeight="1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 s="7" customFormat="1" ht="61.5" customHeight="1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s="7" customFormat="1" ht="36.75" customHeight="1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s="7" customFormat="1" ht="29.25" customHeight="1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s="7" customFormat="1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s="7" customFormat="1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6" s="7" customFormat="1" ht="15.75" customHeight="1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6" s="7" customFormat="1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6" s="7" customFormat="1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6" s="7" customFormat="1" ht="15.75" customHeight="1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6" s="7" customFormat="1" ht="45" customHeight="1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6" s="7" customFormat="1" ht="136.5" customHeight="1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 s="15"/>
    </row>
    <row r="103" spans="1:26" s="7" customFormat="1" ht="15.75" customHeight="1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6" s="7" customFormat="1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6" s="7" customFormat="1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6" s="7" customFormat="1" ht="16.5" customHeight="1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6" s="7" customFormat="1" ht="15.75" customHeight="1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6" s="7" customFormat="1" ht="62.25" customHeight="1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 s="121"/>
      <c r="W108" s="121"/>
      <c r="X108" s="121"/>
      <c r="Y108" s="121"/>
    </row>
    <row r="109" spans="1:26" s="15" customFormat="1" ht="19.5" customHeight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 s="121"/>
      <c r="W109" s="121"/>
      <c r="X109" s="121"/>
      <c r="Y109" s="121"/>
      <c r="Z109" s="75"/>
    </row>
    <row r="110" spans="1:26" s="15" customFormat="1" ht="19.5" customHeight="1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 s="121"/>
      <c r="W110" s="121"/>
      <c r="X110" s="121"/>
      <c r="Y110" s="121"/>
      <c r="Z110" s="75"/>
    </row>
    <row r="111" spans="1:26" s="7" customFormat="1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 s="121"/>
      <c r="W111" s="121"/>
      <c r="X111" s="121"/>
      <c r="Y111" s="137" t="e">
        <f>+#REF!-308123715.6</f>
        <v>#REF!</v>
      </c>
    </row>
    <row r="112" spans="1:26" s="7" customFormat="1" ht="15.75" customHeight="1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2" s="7" customFormat="1" ht="25.5" customHeight="1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2" s="7" customFormat="1" ht="241.5" customHeight="1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2" s="7" customFormat="1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2" s="7" customFormat="1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2" s="7" customFormat="1" ht="15.75" customHeight="1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2" s="7" customFormat="1" ht="57" customHeight="1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2" s="7" customFormat="1" ht="45" customHeight="1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 s="64"/>
    </row>
    <row r="120" spans="1:22" s="7" customFormat="1" ht="45" customHeight="1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2" s="7" customFormat="1" ht="45" customHeight="1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2" s="121" customFormat="1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2" s="121" customFormat="1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2" s="121" customFormat="1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2" s="7" customFormat="1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2" s="7" customFormat="1" ht="15.75" customHeight="1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2" s="7" customFormat="1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2" s="7" customFormat="1" ht="213.75" customHeight="1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s="7" customFormat="1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s="7" customFormat="1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s="7" customFormat="1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s="7" customFormat="1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s="7" customFormat="1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s="7" customFormat="1" ht="16.5" customHeight="1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s="7" customFormat="1" ht="41.25" customHeight="1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s="7" customFormat="1" ht="56.25" customHeight="1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s="7" customFormat="1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s="7" customFormat="1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s="7" customFormat="1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s="7" customFormat="1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s="7" customFormat="1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s="7" customFormat="1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s="7" customFormat="1" ht="16.5" customHeight="1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s="7" customFormat="1" ht="36" customHeight="1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s="7" customFormat="1" ht="191.25" customHeight="1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s="7" customFormat="1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s="7" customFormat="1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s="7" customFormat="1" ht="27.75" customHeight="1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s="7" customFormat="1" ht="60" customHeight="1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s="7" customFormat="1" ht="134.25" customHeight="1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s="7" customFormat="1" ht="84" customHeight="1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s="7" customFormat="1" ht="105.75" customHeight="1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s="7" customFormat="1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s="7" customFormat="1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s="7" customFormat="1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s="7" customFormat="1" ht="20.25" customHeight="1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s="7" customFormat="1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s="7" customFormat="1" ht="304.5" customHeight="1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s="7" customFormat="1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s="7" customFormat="1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s="7" customFormat="1" ht="20.25" customHeight="1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s="7" customFormat="1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s="7" customFormat="1" ht="35.1" customHeight="1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s="7" customFormat="1" ht="35.1" customHeight="1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s="7" customFormat="1" ht="35.1" customHeight="1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s="7" customFormat="1" ht="35.1" customHeight="1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s="7" customFormat="1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s="7" customFormat="1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s="7" customFormat="1" ht="16.5" customHeight="1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s="7" customFormat="1" ht="36.75" customHeight="1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s="7" customFormat="1" ht="297" customHeight="1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s="7" customFormat="1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s="7" customFormat="1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s="7" customFormat="1" ht="16.5" customHeight="1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s="7" customFormat="1" ht="57" customHeight="1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s="7" customFormat="1" ht="61.5" customHeight="1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s="7" customFormat="1" ht="63" customHeight="1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s="7" customFormat="1" ht="48" customHeight="1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s="7" customFormat="1" ht="33" customHeight="1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s="7" customFormat="1" ht="30.75" customHeight="1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s="7" customFormat="1" ht="57" customHeight="1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s="7" customFormat="1" ht="42.75" customHeight="1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s="7" customFormat="1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s="7" customFormat="1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s="7" customFormat="1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s="7" customFormat="1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s="7" customFormat="1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s="7" customFormat="1" ht="16.5" customHeight="1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s="7" customFormat="1" ht="42" customHeight="1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s="7" customFormat="1" ht="288.75" customHeight="1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  <row r="191" spans="1:21" s="7" customFormat="1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</row>
    <row r="192" spans="1:21" s="7" customFormat="1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</row>
    <row r="193" spans="1:21" s="7" customFormat="1" ht="17.25" customHeight="1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</row>
    <row r="194" spans="1:21" s="7" customFormat="1" ht="60" customHeight="1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</row>
    <row r="195" spans="1:21" s="7" customFormat="1" ht="35.1" customHeight="1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</row>
    <row r="196" spans="1:21" s="7" customFormat="1" ht="35.1" customHeight="1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</row>
    <row r="197" spans="1:21" s="7" customFormat="1" ht="35.1" customHeight="1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</row>
    <row r="198" spans="1:21" s="7" customFormat="1" ht="35.1" customHeight="1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</row>
    <row r="199" spans="1:21" s="7" customFormat="1" ht="45" customHeight="1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</row>
    <row r="200" spans="1:21" s="7" customFormat="1" ht="45" customHeight="1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</row>
    <row r="201" spans="1:21" s="7" customFormat="1" ht="45" customHeight="1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</row>
    <row r="202" spans="1:21" s="7" customFormat="1" ht="45" customHeight="1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</row>
    <row r="203" spans="1:21" s="7" customFormat="1" ht="45" customHeight="1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</row>
    <row r="204" spans="1:21" s="7" customFormat="1" ht="45" customHeight="1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</row>
    <row r="205" spans="1:21" s="7" customFormat="1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</row>
    <row r="206" spans="1:21" s="7" customFormat="1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</row>
    <row r="207" spans="1:21" s="7" customFormat="1" ht="10.5" customHeight="1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</row>
    <row r="208" spans="1:21" s="7" customFormat="1" ht="16.5" customHeight="1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</row>
    <row r="209" spans="1:21" s="7" customFormat="1" ht="25.5" customHeight="1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</row>
    <row r="210" spans="1:21" s="7" customFormat="1" ht="23.25" customHeight="1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</row>
    <row r="211" spans="1:21" s="7" customFormat="1" ht="191.25" customHeight="1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</row>
    <row r="212" spans="1:21" s="7" customFormat="1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</row>
    <row r="213" spans="1:21" s="7" customFormat="1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</row>
    <row r="214" spans="1:21" s="7" customFormat="1" ht="26.25" customHeight="1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</row>
    <row r="215" spans="1:21" s="7" customFormat="1" ht="56.25" customHeight="1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</row>
    <row r="216" spans="1:21" s="7" customFormat="1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</row>
    <row r="217" spans="1:21" s="7" customFormat="1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</row>
    <row r="218" spans="1:21" s="7" customFormat="1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</row>
    <row r="219" spans="1:21" s="7" customFormat="1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</row>
    <row r="220" spans="1:21" s="7" customFormat="1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</row>
    <row r="221" spans="1:21" s="7" customFormat="1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</row>
    <row r="222" spans="1:21" s="7" customFormat="1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</row>
    <row r="223" spans="1:21" s="7" customFormat="1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</row>
    <row r="224" spans="1:21" s="7" customFormat="1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</row>
    <row r="225" spans="1:39" s="7" customFormat="1" ht="43.5" customHeight="1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</row>
    <row r="226" spans="1:39" s="7" customFormat="1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</row>
    <row r="227" spans="1:39" s="7" customFormat="1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</row>
    <row r="228" spans="1:39" s="7" customFormat="1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</row>
    <row r="229" spans="1:39" s="7" customFormat="1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</row>
    <row r="230" spans="1:39" s="7" customFormat="1" ht="35.1" customHeight="1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</row>
    <row r="231" spans="1:39" s="7" customFormat="1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</row>
    <row r="232" spans="1:39" s="7" customFormat="1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</row>
    <row r="233" spans="1:39" s="7" customFormat="1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</row>
    <row r="234" spans="1:39" s="7" customFormat="1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</row>
    <row r="235" spans="1:39" s="7" customFormat="1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</row>
    <row r="236" spans="1:39" s="7" customFormat="1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</row>
    <row r="237" spans="1:39" s="7" customFormat="1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</row>
    <row r="238" spans="1:39" s="200" customFormat="1" ht="56.25" customHeight="1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 s="226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</row>
    <row r="239" spans="1:39" s="200" customFormat="1" ht="35.1" customHeight="1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</row>
    <row r="240" spans="1:39" s="7" customFormat="1" ht="35.1" customHeight="1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</row>
    <row r="241" spans="1:40" s="7" customFormat="1" ht="35.1" customHeight="1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</row>
    <row r="242" spans="1:40" s="7" customFormat="1" ht="35.1" customHeight="1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</row>
    <row r="243" spans="1:40" s="7" customFormat="1" ht="35.1" customHeight="1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</row>
    <row r="244" spans="1:40" s="7" customFormat="1" ht="35.1" customHeight="1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</row>
    <row r="245" spans="1:40" s="7" customFormat="1" ht="35.1" customHeight="1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</row>
    <row r="246" spans="1:40" s="200" customFormat="1" ht="35.1" customHeight="1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</row>
    <row r="247" spans="1:40" s="7" customFormat="1" ht="35.1" customHeight="1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</row>
    <row r="248" spans="1:40" s="7" customFormat="1" ht="35.1" customHeight="1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</row>
    <row r="249" spans="1:40" s="7" customFormat="1" ht="35.1" customHeight="1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</row>
    <row r="250" spans="1:40" s="7" customFormat="1" ht="35.1" customHeight="1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</row>
    <row r="251" spans="1:40" s="7" customFormat="1" ht="35.1" customHeight="1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</row>
    <row r="252" spans="1:40" s="7" customFormat="1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</row>
    <row r="253" spans="1:40" s="7" customFormat="1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</row>
    <row r="254" spans="1:40" s="200" customFormat="1" ht="74.25" customHeight="1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</row>
    <row r="255" spans="1:40" s="7" customFormat="1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</row>
    <row r="256" spans="1:40" s="7" customFormat="1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</row>
    <row r="257" spans="1:24" s="7" customFormat="1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</row>
    <row r="258" spans="1:24" s="7" customFormat="1" ht="45" customHeight="1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</row>
    <row r="259" spans="1:24" s="7" customFormat="1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</row>
    <row r="260" spans="1:24" s="7" customFormat="1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</row>
    <row r="261" spans="1:24" s="7" customFormat="1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</row>
    <row r="262" spans="1:24" s="7" customFormat="1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</row>
    <row r="263" spans="1:24" s="7" customFormat="1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</row>
    <row r="264" spans="1:24" s="7" customFormat="1" ht="35.1" customHeight="1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</row>
    <row r="265" spans="1:24" s="7" customFormat="1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</row>
    <row r="266" spans="1:24" s="7" customFormat="1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X266" s="7">
        <f>37195786+53791160</f>
        <v>90986946</v>
      </c>
    </row>
    <row r="267" spans="1:24" s="7" customFormat="1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</row>
    <row r="268" spans="1:24" s="7" customFormat="1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</row>
    <row r="269" spans="1:24" s="7" customFormat="1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</row>
    <row r="270" spans="1:24" s="7" customFormat="1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</row>
    <row r="271" spans="1:24" s="7" customFormat="1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</row>
    <row r="272" spans="1:24" s="7" customFormat="1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</row>
    <row r="273" spans="1:42" s="7" customFormat="1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</row>
    <row r="274" spans="1:42" s="7" customFormat="1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</row>
    <row r="275" spans="1:42" s="7" customFormat="1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</row>
    <row r="276" spans="1:42" s="7" customFormat="1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</row>
    <row r="277" spans="1:42" s="7" customFormat="1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</row>
    <row r="278" spans="1:42" s="7" customFormat="1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</row>
    <row r="279" spans="1:42" s="200" customFormat="1" ht="30.75" customHeight="1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</row>
    <row r="280" spans="1:42" s="7" customFormat="1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</row>
    <row r="281" spans="1:42" s="7" customFormat="1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</row>
    <row r="282" spans="1:42" s="7" customFormat="1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</row>
    <row r="283" spans="1:42" s="7" customFormat="1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</row>
    <row r="284" spans="1:42" s="200" customFormat="1" ht="36" customHeight="1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</row>
    <row r="285" spans="1:42" s="7" customFormat="1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</row>
    <row r="286" spans="1:42" s="7" customFormat="1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</row>
    <row r="287" spans="1:42" s="7" customFormat="1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</row>
    <row r="288" spans="1:42" s="7" customFormat="1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</row>
    <row r="289" spans="1:21" s="7" customFormat="1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</row>
    <row r="290" spans="1:21" s="7" customFormat="1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</row>
    <row r="291" spans="1:21" s="7" customFormat="1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</row>
    <row r="292" spans="1:21" ht="24" customHeight="1" x14ac:dyDescent="0.25"/>
    <row r="293" spans="1:21" ht="52.5" customHeight="1" x14ac:dyDescent="0.25"/>
    <row r="294" spans="1:21" ht="43.5" customHeight="1" x14ac:dyDescent="0.25"/>
    <row r="295" spans="1:21" ht="48.75" customHeight="1" x14ac:dyDescent="0.25"/>
    <row r="296" spans="1:21" ht="45.75" customHeight="1" x14ac:dyDescent="0.25"/>
  </sheetData>
  <mergeCells count="32">
    <mergeCell ref="B1:U1"/>
    <mergeCell ref="B2:J2"/>
    <mergeCell ref="B4:J4"/>
    <mergeCell ref="B6:U6"/>
    <mergeCell ref="P9:U10"/>
    <mergeCell ref="B8:F8"/>
    <mergeCell ref="B9:D9"/>
    <mergeCell ref="E9:E10"/>
    <mergeCell ref="F9:F10"/>
    <mergeCell ref="G9:G10"/>
    <mergeCell ref="H9:H10"/>
    <mergeCell ref="I9:I10"/>
    <mergeCell ref="J9:J10"/>
    <mergeCell ref="K9:N9"/>
    <mergeCell ref="O9:O10"/>
    <mergeCell ref="P11:U11"/>
    <mergeCell ref="B13:F13"/>
    <mergeCell ref="B14:D14"/>
    <mergeCell ref="E14:F15"/>
    <mergeCell ref="G14:J14"/>
    <mergeCell ref="K14:N14"/>
    <mergeCell ref="O14:O15"/>
    <mergeCell ref="P14:U14"/>
    <mergeCell ref="K29:L29"/>
    <mergeCell ref="B16:B19"/>
    <mergeCell ref="C16:C19"/>
    <mergeCell ref="D16:D19"/>
    <mergeCell ref="E16:F19"/>
    <mergeCell ref="B20:B25"/>
    <mergeCell ref="C20:C25"/>
    <mergeCell ref="D20:D25"/>
    <mergeCell ref="E20:F25"/>
  </mergeCells>
  <pageMargins left="0.39370078740157483" right="0.19685039370078741" top="0.47244094488188981" bottom="0.59055118110236227" header="0.31496062992125984" footer="0.31496062992125984"/>
  <pageSetup paperSize="163" scale="6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Cosolidado</vt:lpstr>
      <vt:lpstr>PRESUPUESTO 2014</vt:lpstr>
      <vt:lpstr>Direccion Form y Des Prof</vt:lpstr>
      <vt:lpstr>Administrativa</vt:lpstr>
      <vt:lpstr>Inicial y Hab. Doc.</vt:lpstr>
      <vt:lpstr>Post-Grado</vt:lpstr>
      <vt:lpstr>Continua</vt:lpstr>
      <vt:lpstr>Investigación</vt:lpstr>
    </vt:vector>
  </TitlesOfParts>
  <Company>Windows 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Liranzo, Jhonny</dc:creator>
  <cp:lastModifiedBy>Taveras, Ramona</cp:lastModifiedBy>
  <cp:lastPrinted>2015-08-03T17:15:35Z</cp:lastPrinted>
  <dcterms:created xsi:type="dcterms:W3CDTF">2013-11-26T12:25:00Z</dcterms:created>
  <dcterms:modified xsi:type="dcterms:W3CDTF">2016-07-07T18:57:54Z</dcterms:modified>
</cp:coreProperties>
</file>